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<sst xmlns="http://schemas.openxmlformats.org/spreadsheetml/2006/main" count="114" uniqueCount="102">
  <si>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The Toronto-Dominion Bank (TD.TO)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</si>
  <si>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</si>
  <si>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</si>
  <si>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</si>
  <si>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</si>
  <si>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</si>
  <si>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</si>
  <si>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</si>
  <si>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</si>
  <si>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</si>
  <si>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</si>
  <si>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</si>
  <si>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</si>
  <si>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</si>
  <si>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</si>
  <si>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</si>
  <si>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</si>
  <si>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</si>
  <si>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</si>
  <si>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</si>
  <si>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</si>
  <si>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</si>
  <si>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12.1%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</si>
  <si>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</si>
  <si>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</si>
  <si>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</si>
  <si>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</si>
  <si>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</si>
  <si>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</si>
  <si>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</si>
  <si>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2025-10-31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</si>
  <si>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</si>
  <si>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</si>
  <si>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</si>
  <si>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</si>
  <si>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</si>
  <si>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</si>
  <si>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</si>
  <si>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</si>
  <si>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</si>
  <si>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</si>
  <si>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</si>
  <si>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</si>
  <si>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</si>
  <si>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</si>
  <si>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</si>
  <si>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</si>
  <si>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</si>
  <si>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</si>
  <si>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</si>
  <si>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</si>
  <si>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</si>
  <si>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</si>
  <si>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</si>
  <si>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</si>
  <si>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</si>
  <si>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</si>
  <si>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</si>
  <si>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</si>
  <si>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</si>
  <si>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</si>
  <si>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</si>
  <si>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</si>
  <si>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</si>
  <si>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</si>
  <si>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</si>
  <si>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</si>
  <si>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</si>
  <si>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</si>
  <si>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</si>
  <si>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</si>
  <si>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</si>
  <si>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</si>
  <si>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</si>
  <si>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</si>
  <si>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</si>
  <si>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</si>
  <si>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</si>
  <si>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</si>
  <si>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</si>
  <si>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</si>
  <si>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</si>
  <si>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</si>
  <si>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</si>
  <si>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</si>
  <si>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</si>
  <si>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</si>
  <si>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</si>
  <si>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</si>
  <si>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</si>
  <si>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</si>
  <si>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</si>
  <si>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</si>
  <si>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</si>
  <si>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</si>
  <si>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</si>
  <si>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</si>
  <si>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</si>
  <si>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</si>
  <si>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</si>
  <si>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Current EV/EBITDA of 23.5x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</si>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</sst>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0.10223352356491677</v>
      </c>
    </row>
    <row r="7" spans="1:2" x14ac:dyDescent="0.25">
      <c r="A7" t="s">
        <v>5</v>
      </c>
      <c r="B7" s="6">
        <v>0.31869267928984835</v>
      </c>
    </row>
    <row r="8" spans="1:2" x14ac:dyDescent="0.25">
      <c r="A8" t="s">
        <v>6</v>
      </c>
      <c r="B8" s="6">
        <v>0.21854651591110177</v>
      </c>
    </row>
    <row r="9" spans="1:2" x14ac:dyDescent="0.25">
      <c r="A9" t="s">
        <v>7</v>
      </c>
      <c r="B9" s="6">
        <v>0.036764392687227226</v>
      </c>
    </row>
    <row r="10" spans="1:2" x14ac:dyDescent="0.25">
      <c r="A10" t="s">
        <v>8</v>
      </c>
      <c r="B10" s="6">
        <v>0.03531575514656868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0.057592149142091875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0.91022</v>
      </c>
      <c r="C19" s="8" t="s">
        <v>19</v>
      </c>
    </row>
    <row r="20" spans="1:2" x14ac:dyDescent="0.25">
      <c r="A20" t="s">
        <v>20</v>
      </c>
      <c r="B20" s="10">
        <f>B17+B19*B18</f>
        <v>0.0830621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280971870208</v>
      </c>
    </row>
    <row r="23" spans="1:2" x14ac:dyDescent="0.25">
      <c r="A23" t="s">
        <v>24</v>
      </c>
      <c r="B23" s="11">
        <v>442429000000</v>
      </c>
    </row>
    <row r="24" spans="1:2" x14ac:dyDescent="0.25">
      <c r="A24" t="s">
        <v>25</v>
      </c>
      <c r="B24" s="10">
        <f>B22/(B22+B23)</f>
        <v>0.38840410867519687</v>
      </c>
    </row>
    <row r="25" spans="1:2" x14ac:dyDescent="0.25">
      <c r="A25" t="s">
        <v>26</v>
      </c>
      <c r="B25" s="10">
        <f>1-B24</f>
        <v>0.6115958913248032</v>
      </c>
    </row>
    <row r="26" spans="1:2" x14ac:dyDescent="0.25">
      <c r="A26" t="s">
        <v>27</v>
      </c>
      <c r="B26" s="12">
        <f>B24*B20+B25*B21*(1-B8)</f>
        <v>0.057592149142091875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61281000000</v>
      </c>
      <c r="C29" s="8" t="s">
        <v>30</v>
      </c>
    </row>
    <row r="30" spans="1:2" x14ac:dyDescent="0.25">
      <c r="A30" t="s">
        <v>31</v>
      </c>
      <c r="B30" s="11">
        <v>325500000000</v>
      </c>
    </row>
    <row r="31" spans="1:2" x14ac:dyDescent="0.25">
      <c r="A31" t="s">
        <v>32</v>
      </c>
      <c r="B31" s="13">
        <v>1728000000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0.10223352356491677</v>
      </c>
      <c r="C5" s="10">
        <f>Assumptions!B6</f>
        <v>0.10223352356491677</v>
      </c>
      <c r="D5" s="10">
        <f>Assumptions!B6</f>
        <v>0.10223352356491677</v>
      </c>
      <c r="E5" s="10">
        <f>Assumptions!B6</f>
        <v>0.10223352356491677</v>
      </c>
      <c r="F5" s="10">
        <f>Assumptions!B6</f>
        <v>0.10223352356491677</v>
      </c>
    </row>
    <row r="6" spans="1:6" x14ac:dyDescent="0.25">
      <c r="A6" t="s">
        <v>43</v>
      </c>
      <c r="B6" s="18">
        <f>Assumptions!B29*(1+B5)</f>
        <v>67545972557.581665</v>
      </c>
      <c r="C6" s="18">
        <f>B6*(1+C5)</f>
        <v>74451435334.7624</v>
      </c>
      <c r="D6" s="18">
        <f>C6*(1+D5)</f>
        <v>82062867903.50072</v>
      </c>
      <c r="E6" s="18">
        <f>D6*(1+E5)</f>
        <v>90452444043.1179</v>
      </c>
      <c r="F6" s="18">
        <f>E6*(1+F5)</f>
        <v>99699716112.70432</v>
      </c>
    </row>
    <row r="7" spans="1:6" x14ac:dyDescent="0.25">
      <c r="A7" t="s">
        <v>5</v>
      </c>
      <c r="B7" s="10">
        <f>Assumptions!B7</f>
        <v>0.31869267928984835</v>
      </c>
      <c r="C7" s="10">
        <f>Assumptions!B7</f>
        <v>0.31869267928984835</v>
      </c>
      <c r="D7" s="10">
        <f>Assumptions!B7</f>
        <v>0.31869267928984835</v>
      </c>
      <c r="E7" s="10">
        <f>Assumptions!B7</f>
        <v>0.31869267928984835</v>
      </c>
      <c r="F7" s="10">
        <f>Assumptions!B7</f>
        <v>0.31869267928984835</v>
      </c>
    </row>
    <row r="8" spans="1:6" x14ac:dyDescent="0.25">
      <c r="A8" t="s">
        <v>44</v>
      </c>
      <c r="B8" s="18">
        <f>B6*B7</f>
        <v>21526406969.61427</v>
      </c>
      <c r="C8" s="18">
        <f>C6*C7</f>
        <v>23727127403.810318</v>
      </c>
      <c r="D8" s="18">
        <f>D6*D7</f>
        <v>26152835242.37554</v>
      </c>
      <c r="E8" s="18">
        <f>E6*E7</f>
        <v>28826531740.41633</v>
      </c>
      <c r="F8" s="18">
        <f>F6*F7</f>
        <v>31773569652.395</v>
      </c>
    </row>
    <row r="9" spans="1:6" x14ac:dyDescent="0.25">
      <c r="A9" t="s">
        <v>45</v>
      </c>
      <c r="B9" s="18">
        <f>B8*(1-Assumptions!B8)</f>
        <v>16821885726.320612</v>
      </c>
      <c r="C9" s="18">
        <f>C8*(1-Assumptions!B8)</f>
        <v>18541646377.12875</v>
      </c>
      <c r="D9" s="18">
        <f>D8*(1-Assumptions!B8)</f>
        <v>20437224218.957294</v>
      </c>
      <c r="E9" s="18">
        <f>E8*(1-Assumptions!B8)</f>
        <v>22526593662.74755</v>
      </c>
      <c r="F9" s="18">
        <f>F8*(1-Assumptions!B8)</f>
        <v>24829566706.805355</v>
      </c>
    </row>
    <row r="10" spans="1:6" x14ac:dyDescent="0.25">
      <c r="A10" t="s">
        <v>46</v>
      </c>
      <c r="B10" s="18">
        <f>B6*Assumptions!B9</f>
        <v>2483286659.5476065</v>
      </c>
      <c r="C10" s="18">
        <f>C6*Assumptions!B9</f>
        <v>2737161804.7749095</v>
      </c>
      <c r="D10" s="18">
        <f>D6*Assumptions!B9</f>
        <v>3016991500.644356</v>
      </c>
      <c r="E10" s="18">
        <f>E6*Assumptions!B9</f>
        <v>3325429172.320634</v>
      </c>
      <c r="F10" s="18">
        <f>F6*Assumptions!B9</f>
        <v>3665399513.972537</v>
      </c>
    </row>
    <row r="11" spans="1:6" x14ac:dyDescent="0.25">
      <c r="A11" t="s">
        <v>47</v>
      </c>
      <c r="B11" s="18">
        <f>-B6*Assumptions!B10</f>
        <v>-2385437027.9804015</v>
      </c>
      <c r="C11" s="18">
        <f>-C6*Assumptions!B10</f>
        <v>-2629308660.5930605</v>
      </c>
      <c r="D11" s="18">
        <f>-D6*Assumptions!B10</f>
        <v>-2898112149.505241</v>
      </c>
      <c r="E11" s="18">
        <f>-E6*Assumptions!B10</f>
        <v>-3194396366.2354565</v>
      </c>
      <c r="F11" s="18">
        <f>-F6*Assumptions!B10</f>
        <v>-3520970762.4186735</v>
      </c>
    </row>
    <row r="12" spans="1:6" x14ac:dyDescent="0.25">
      <c r="A12" t="s">
        <v>48</v>
      </c>
      <c r="B12" s="18">
        <f>-(B6-Assumptions!B29)*Assumptions!B11</f>
        <v>-6264972557.581665</v>
      </c>
      <c r="C12" s="18">
        <f>-(C6-B6)*Assumptions!B11</f>
        <v>-6905462777.18074</v>
      </c>
      <c r="D12" s="18">
        <f>-(D6-C6)*Assumptions!B11</f>
        <v>-7611432568.738312</v>
      </c>
      <c r="E12" s="18">
        <f>-(E6-D6)*Assumptions!B11</f>
        <v>-8389576139.6171875</v>
      </c>
      <c r="F12" s="18">
        <f>-(F6-E6)*Assumptions!B11</f>
        <v>-9247272069.58641</v>
      </c>
    </row>
    <row r="13" spans="1:6" x14ac:dyDescent="0.25">
      <c r="A13" s="19" t="s">
        <v>49</v>
      </c>
      <c r="B13" s="20">
        <f>B9+B10+B11+B12</f>
        <v>10654762800.30615</v>
      </c>
      <c r="C13" s="20">
        <f>C9+C10+C11+C12</f>
        <v>11744036744.12986</v>
      </c>
      <c r="D13" s="20">
        <f>D9+D10+D11+D12</f>
        <v>12944671001.358097</v>
      </c>
      <c r="E13" s="20">
        <f>E9+E10+E11+E12</f>
        <v>14268050329.215538</v>
      </c>
      <c r="F13" s="20">
        <f>F9+F10+F11+F12</f>
        <v>15726723388.772808</v>
      </c>
    </row>
    <row r="14" spans="1:6" x14ac:dyDescent="0.25">
      <c r="A14" t="s">
        <v>50</v>
      </c>
      <c r="B14" s="21">
        <f>1/(1+Assumptions!$B$26)^(1-0.5*Assumptions!$B$32)</f>
        <v>0.9723909111508285</v>
      </c>
      <c r="C14" s="21">
        <f>1/(1+Assumptions!$B$26)^(2-0.5*Assumptions!$B$32)</f>
        <v>0.9194384734603244</v>
      </c>
      <c r="D14" s="21">
        <f>1/(1+Assumptions!$B$26)^(3-0.5*Assumptions!$B$32)</f>
        <v>0.8693696092639905</v>
      </c>
      <c r="E14" s="21">
        <f>1/(1+Assumptions!$B$26)^(4-0.5*Assumptions!$B$32)</f>
        <v>0.8220272909261045</v>
      </c>
      <c r="F14" s="21">
        <f>1/(1+Assumptions!$B$26)^(5-0.5*Assumptions!$B$32)</f>
        <v>0.7772630418946707</v>
      </c>
    </row>
    <row r="15" spans="1:6" x14ac:dyDescent="0.25">
      <c r="A15" s="19" t="s">
        <v>51</v>
      </c>
      <c r="B15" s="20">
        <f>B13*B14</f>
        <v>10360594507.485651</v>
      </c>
      <c r="C15" s="20">
        <f>C13*C14</f>
        <v>10797919216.284716</v>
      </c>
      <c r="D15" s="20">
        <f>D13*D14</f>
        <v>11253703570.501598</v>
      </c>
      <c r="E15" s="20">
        <f>E13*E14</f>
        <v>11728726758.922361</v>
      </c>
      <c r="F15" s="20">
        <f>F13*F14</f>
        <v>12223800860.193617</v>
      </c>
    </row>
    <row r="17" spans="1:2" x14ac:dyDescent="0.25">
      <c r="A17" s="22" t="s">
        <v>52</v>
      </c>
      <c r="B17" s="23">
        <f>SUM(B15:F15)</f>
        <v>56364744913.38795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15726723388.772808</v>
      </c>
    </row>
    <row r="5" spans="1:2" x14ac:dyDescent="0.25">
      <c r="A5" t="s">
        <v>56</v>
      </c>
      <c r="B5" s="18">
        <f>IF(Assumptions!$B$33=0,B4,B4-Forecast!F11-Forecast!F10-Forecast!F12)</f>
        <v>25829528006.38058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0.4340869436617094</v>
      </c>
    </row>
    <row r="7" spans="1:2" x14ac:dyDescent="0.25">
      <c r="A7" t="s">
        <v>58</v>
      </c>
      <c r="B7" s="18">
        <f>-MAX(Forecast!F9,0)*B6</f>
        <v>-11212260868.514273</v>
      </c>
    </row>
    <row r="8" spans="1:2" x14ac:dyDescent="0.25">
      <c r="A8" t="s">
        <v>59</v>
      </c>
      <c r="B8" s="18">
        <f>IF(OR(Assumptions!$B$33=0,Assumptions!B12&lt;=0),B5,MAX(B5+B7,0))</f>
        <v>14617267137.866308</v>
      </c>
    </row>
    <row r="9" spans="1:2" x14ac:dyDescent="0.25">
      <c r="A9" t="s">
        <v>60</v>
      </c>
      <c r="B9" s="18">
        <f>B8*(1+Assumptions!B12)/(Assumptions!B26-Assumptions!B12)</f>
        <v>459702695609.08514</v>
      </c>
    </row>
    <row r="10" spans="1:2" x14ac:dyDescent="0.25">
      <c r="A10" t="s">
        <v>61</v>
      </c>
      <c r="B10" s="18">
        <f>B9/(1+Assumptions!B26)^(5-0.5*Assumptions!B32)</f>
        <v>357309915556.29736</v>
      </c>
    </row>
    <row r="11" spans="1:2" x14ac:dyDescent="0.25">
      <c r="A11" t="s">
        <v>62</v>
      </c>
      <c r="B11" s="18">
        <f>Forecast!B17+B10</f>
        <v>413674660469.6853</v>
      </c>
    </row>
    <row r="12" spans="1:2" x14ac:dyDescent="0.25">
      <c r="A12" t="s">
        <v>63</v>
      </c>
      <c r="B12" s="18">
        <f>-Assumptions!B30</f>
        <v>-325500000000</v>
      </c>
    </row>
    <row r="13" spans="1:2" x14ac:dyDescent="0.25">
      <c r="A13" t="s">
        <v>64</v>
      </c>
      <c r="B13" s="18">
        <f>B11+B12</f>
        <v>88174660469.6853</v>
      </c>
    </row>
    <row r="14" spans="1:2" x14ac:dyDescent="0.25">
      <c r="A14" s="19" t="s">
        <v>65</v>
      </c>
      <c r="B14" s="24">
        <f>B13/Assumptions!B31</f>
        <v>51.02700258662344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35438969166.36754</v>
      </c>
    </row>
    <row r="18" spans="1:2" x14ac:dyDescent="0.25">
      <c r="A18" t="s">
        <v>60</v>
      </c>
      <c r="B18" s="18">
        <f>B17*Assumptions!B13</f>
        <v>708779383327.3508</v>
      </c>
    </row>
    <row r="19" spans="1:2" x14ac:dyDescent="0.25">
      <c r="A19" t="s">
        <v>61</v>
      </c>
      <c r="B19" s="18">
        <f>B18/(1+Assumptions!B26)^(5-0.5*Assumptions!B32)</f>
        <v>550908019517.2455</v>
      </c>
    </row>
    <row r="20" spans="1:2" x14ac:dyDescent="0.25">
      <c r="A20" t="s">
        <v>62</v>
      </c>
      <c r="B20" s="18">
        <f>Forecast!B17+B19</f>
        <v>607272764430.6334</v>
      </c>
    </row>
    <row r="21" spans="1:2" x14ac:dyDescent="0.25">
      <c r="A21" t="s">
        <v>63</v>
      </c>
      <c r="B21" s="18">
        <f>-Assumptions!B30</f>
        <v>-325500000000</v>
      </c>
    </row>
    <row r="22" spans="1:2" x14ac:dyDescent="0.25">
      <c r="A22" t="s">
        <v>64</v>
      </c>
      <c r="B22" s="18">
        <f>B20+B21</f>
        <v>281772764430.6334</v>
      </c>
    </row>
    <row r="23" spans="1:2" x14ac:dyDescent="0.25">
      <c r="A23" s="19" t="s">
        <v>65</v>
      </c>
      <c r="B23" s="25">
        <f>B22/Assumptions!B31</f>
        <v>163.06294237883878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171.48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51.02700258662344</v>
      </c>
    </row>
    <row r="29" spans="1:2" x14ac:dyDescent="0.25">
      <c r="A29" s="19" t="s">
        <v>73</v>
      </c>
      <c r="B29" s="12">
        <f>B28/B26-1</f>
        <v>-0.7024317553847479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0.037592</v>
      </c>
      <c r="B5" s="31">
        <v>187.7520936580911</v>
      </c>
      <c r="C5" s="31">
        <v>189.43603724636318</v>
      </c>
      <c r="D5" s="31">
        <v>191.11998083463536</v>
      </c>
      <c r="E5" s="31">
        <v>192.80392442290758</v>
      </c>
      <c r="F5" s="31">
        <v>351.4547985435379</v>
      </c>
    </row>
    <row r="6" spans="1:6" x14ac:dyDescent="0.25">
      <c r="A6" s="30">
        <v>0.047592</v>
      </c>
      <c r="B6" s="31">
        <v>103.67053988270604</v>
      </c>
      <c r="C6" s="31">
        <v>104.94446529453366</v>
      </c>
      <c r="D6" s="31">
        <v>106.21839070636118</v>
      </c>
      <c r="E6" s="31">
        <v>107.49231611818868</v>
      </c>
      <c r="F6" s="31">
        <v>108.76624153001616</v>
      </c>
    </row>
    <row r="7" spans="1:6" x14ac:dyDescent="0.25">
      <c r="A7" s="30">
        <v>0.057592</v>
      </c>
      <c r="B7" s="31">
        <v>49.01034225151797</v>
      </c>
      <c r="C7" s="31">
        <v>50.01901170613688</v>
      </c>
      <c r="D7" s="32">
        <v>51.02768116075572</v>
      </c>
      <c r="E7" s="31">
        <v>52.036350615374566</v>
      </c>
      <c r="F7" s="31">
        <v>53.045020069993406</v>
      </c>
    </row>
    <row r="8" spans="1:6" x14ac:dyDescent="0.25">
      <c r="A8" s="30">
        <v>0.067592</v>
      </c>
      <c r="B8" s="31">
        <v>10.702091877776217</v>
      </c>
      <c r="C8" s="31">
        <v>11.525895203626632</v>
      </c>
      <c r="D8" s="31">
        <v>12.349698529476978</v>
      </c>
      <c r="E8" s="31">
        <v>13.173501855327395</v>
      </c>
      <c r="F8" s="31">
        <v>13.997305181177776</v>
      </c>
    </row>
    <row r="9" spans="1:6" x14ac:dyDescent="0.25">
      <c r="A9" s="30">
        <v>0.077592</v>
      </c>
      <c r="B9" s="31">
        <v>-17.585470778986366</v>
      </c>
      <c r="C9" s="31">
        <v>-16.897323849117278</v>
      </c>
      <c r="D9" s="31">
        <v>-16.20917691924823</v>
      </c>
      <c r="E9" s="31">
        <v>-15.521029989379176</v>
      </c>
      <c r="F9" s="31">
        <v>-14.832883059510126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61281000000</v>
      </c>
      <c r="C5" s="18">
        <v>56256000000</v>
      </c>
      <c r="D5" s="18">
        <v>51524000000</v>
      </c>
      <c r="E5" s="18">
        <v>45762000000</v>
      </c>
      <c r="F5" s="8" t="s">
        <v>84</v>
      </c>
    </row>
    <row r="6" spans="1:6" x14ac:dyDescent="0.25">
      <c r="A6" t="s">
        <v>44</v>
      </c>
      <c r="B6" s="18">
        <v>23643000000</v>
      </c>
      <c r="C6" s="18">
        <v>10830000000</v>
      </c>
      <c r="D6" s="18">
        <v>12888000000</v>
      </c>
      <c r="E6" s="18">
        <v>20424000000</v>
      </c>
      <c r="F6" s="8" t="s">
        <v>85</v>
      </c>
    </row>
    <row r="7" spans="1:6" x14ac:dyDescent="0.25">
      <c r="A7" t="s">
        <v>86</v>
      </c>
      <c r="B7" s="18">
        <v>2166000000</v>
      </c>
      <c r="C7" s="18">
        <v>2027000000</v>
      </c>
      <c r="D7" s="18">
        <v>1911000000</v>
      </c>
      <c r="E7" s="18">
        <v>1766000000</v>
      </c>
      <c r="F7" s="8" t="s">
        <v>87</v>
      </c>
    </row>
    <row r="8" spans="1:6" x14ac:dyDescent="0.25">
      <c r="A8" t="s">
        <v>88</v>
      </c>
      <c r="B8" s="18">
        <v>2145000000</v>
      </c>
      <c r="C8" s="18">
        <v>2177000000</v>
      </c>
      <c r="D8" s="18">
        <v>1844000000</v>
      </c>
      <c r="E8" s="18">
        <v>1454000000</v>
      </c>
      <c r="F8" s="8" t="s">
        <v>89</v>
      </c>
    </row>
    <row r="9" spans="1:6" x14ac:dyDescent="0.25">
      <c r="A9" t="s">
        <v>90</v>
      </c>
      <c r="B9" s="18">
        <v>88579000000</v>
      </c>
      <c r="C9" s="18">
        <v>-42243000000</v>
      </c>
      <c r="D9" s="18">
        <v>78658000000</v>
      </c>
      <c r="E9" s="18">
        <v>-20233000000</v>
      </c>
      <c r="F9" s="8" t="s">
        <v>91</v>
      </c>
    </row>
    <row r="10" spans="1:6" x14ac:dyDescent="0.25">
      <c r="A10" t="s">
        <v>92</v>
      </c>
      <c r="B10" s="18">
        <v>442429000000</v>
      </c>
      <c r="C10" s="18">
        <v>460663000000</v>
      </c>
      <c r="D10" s="18">
        <v>401809000000</v>
      </c>
      <c r="E10" s="18">
        <v>374036000000</v>
      </c>
      <c r="F10" s="8" t="s">
        <v>93</v>
      </c>
    </row>
    <row r="11" spans="1:6" x14ac:dyDescent="0.25">
      <c r="A11" t="s">
        <v>94</v>
      </c>
      <c r="B11" s="18">
        <v>116929000000</v>
      </c>
      <c r="C11" s="18">
        <v>178023000000</v>
      </c>
      <c r="D11" s="18">
        <v>105069000000</v>
      </c>
      <c r="E11" s="18">
        <v>145850000000</v>
      </c>
      <c r="F11" s="8" t="s">
        <v>95</v>
      </c>
    </row>
    <row r="12" spans="1:6" x14ac:dyDescent="0.25">
      <c r="A12" t="s">
        <v>32</v>
      </c>
      <c r="B12" s="34">
        <v>1728000000</v>
      </c>
      <c r="C12" s="34">
        <v>1760000000</v>
      </c>
      <c r="D12" s="34">
        <v>1824400000</v>
      </c>
      <c r="E12" s="34">
        <v>1813600000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