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<sst xmlns="http://schemas.openxmlformats.org/spreadsheetml/2006/main" count="119" uniqueCount="106">
  <si>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TransDigm Group Incorporated (TDG)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</si>
  <si>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</si>
  <si>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</si>
  <si>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</si>
  <si>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</si>
  <si>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</si>
  <si>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</si>
  <si>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</si>
  <si>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</si>
  <si>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</si>
  <si>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</si>
  <si>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</si>
  <si>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</si>
  <si>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</si>
  <si>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</si>
  <si>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</si>
  <si>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</si>
  <si>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</si>
  <si>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</si>
  <si>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</si>
  <si>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</si>
  <si>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</si>
  <si>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</si>
  <si>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</si>
  <si>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+ 111bp, the spread for a BBB rating at 2.7x interest cover. Book interest / average debt was lower, at 5.7%.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</si>
  <si>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</si>
  <si>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</si>
  <si>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</si>
  <si>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</si>
  <si>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</si>
  <si>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</si>
  <si>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</si>
  <si>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2025-09-30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</si>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</sst>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0.19254468916317524</v>
      </c>
    </row>
    <row r="7" spans="1:2" x14ac:dyDescent="0.25">
      <c r="A7" t="s">
        <v>4</v>
      </c>
      <c r="B7" s="5">
        <v>0.4441843057500035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0.042038249793838335</v>
      </c>
    </row>
    <row r="10" spans="1:3" x14ac:dyDescent="0.25">
      <c r="A10" t="s">
        <v>7</v>
      </c>
      <c r="B10" s="5">
        <v>0.02223686864386711</v>
      </c>
      <c r="C10" s="6" t="s">
        <v>8</v>
      </c>
    </row>
    <row r="11" spans="1:2" x14ac:dyDescent="0.25">
      <c r="A11" t="s">
        <v>9</v>
      </c>
      <c r="B11" s="5">
        <v>0.3753709757395888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19.888866191395962</v>
      </c>
    </row>
    <row r="14" spans="1:3" x14ac:dyDescent="0.25">
      <c r="A14" t="s">
        <v>12</v>
      </c>
      <c r="B14" s="5">
        <v>0.14099249553259374</v>
      </c>
      <c r="C14" s="6" t="s">
        <v>13</v>
      </c>
    </row>
    <row r="15" spans="1:3" x14ac:dyDescent="0.25">
      <c r="A15" t="s">
        <v>14</v>
      </c>
      <c r="B15" s="5">
        <v>0.019545040077070135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0.95645</v>
      </c>
      <c r="C19" s="6" t="s">
        <v>21</v>
      </c>
    </row>
    <row r="20" spans="1:2" x14ac:dyDescent="0.25">
      <c r="A20" t="s">
        <v>22</v>
      </c>
      <c r="B20" s="9">
        <f>B17+B19*B18</f>
        <v>0.08939783500000001</v>
      </c>
    </row>
    <row r="21" spans="1:3" x14ac:dyDescent="0.25">
      <c r="A21" t="s">
        <v>23</v>
      </c>
      <c r="B21" s="5">
        <v>0.06004</v>
      </c>
      <c r="C21" s="6" t="s">
        <v>24</v>
      </c>
    </row>
    <row r="22" spans="1:2" x14ac:dyDescent="0.25">
      <c r="A22" t="s">
        <v>25</v>
      </c>
      <c r="B22" s="10">
        <v>63391674368</v>
      </c>
    </row>
    <row r="23" spans="1:2" x14ac:dyDescent="0.25">
      <c r="A23" t="s">
        <v>26</v>
      </c>
      <c r="B23" s="10">
        <v>30030000000</v>
      </c>
    </row>
    <row r="24" spans="1:2" x14ac:dyDescent="0.25">
      <c r="A24" t="s">
        <v>27</v>
      </c>
      <c r="B24" s="9">
        <f>B22/(B22+B23)</f>
        <v>0.6785542519639718</v>
      </c>
    </row>
    <row r="25" spans="1:2" x14ac:dyDescent="0.25">
      <c r="A25" t="s">
        <v>28</v>
      </c>
      <c r="B25" s="9">
        <f>1-B24</f>
        <v>0.3214457480360282</v>
      </c>
    </row>
    <row r="26" spans="1:2" x14ac:dyDescent="0.25">
      <c r="A26" t="s">
        <v>29</v>
      </c>
      <c r="B26" s="11">
        <f>B24*B20+B25*B21*(1-B8)</f>
        <v>0.07590796719816925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8831000000</v>
      </c>
      <c r="C29" s="6" t="s">
        <v>32</v>
      </c>
    </row>
    <row r="30" spans="1:2" x14ac:dyDescent="0.25">
      <c r="A30" t="s">
        <v>33</v>
      </c>
      <c r="B30" s="10">
        <v>27222000000</v>
      </c>
    </row>
    <row r="31" spans="1:2" x14ac:dyDescent="0.25">
      <c r="A31" t="s">
        <v>34</v>
      </c>
      <c r="B31" s="12">
        <v>58200000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0.19254468916317524</v>
      </c>
      <c r="C5" s="5">
        <v>0.11609430124858067</v>
      </c>
      <c r="D5" s="5">
        <v>0.10470751359250809</v>
      </c>
      <c r="E5" s="5">
        <v>0.0933207259364355</v>
      </c>
      <c r="F5" s="5">
        <v>0.08193393828036291</v>
      </c>
      <c r="G5" s="5">
        <v>0.07054715062429033</v>
      </c>
      <c r="H5" s="5">
        <v>0.05916036296821775</v>
      </c>
      <c r="I5" s="5">
        <v>0.047773575312145156</v>
      </c>
      <c r="J5" s="5">
        <v>0.036386787656072575</v>
      </c>
      <c r="K5" s="5">
        <v>0.024999999999999994</v>
      </c>
    </row>
    <row r="6" spans="1:11" x14ac:dyDescent="0.25">
      <c r="A6" t="s">
        <v>50</v>
      </c>
      <c r="B6" s="18">
        <f>Assumptions!B29*(1+B5)</f>
        <v>10531362150</v>
      </c>
      <c r="C6" s="18">
        <f>B6*(1+C5)</f>
        <v>11753993280</v>
      </c>
      <c r="D6" s="18">
        <f>C6*(1+D5)</f>
        <v>12984724691.13185</v>
      </c>
      <c r="E6" s="18">
        <f>D6*(1+E5)</f>
        <v>14196468625.393032</v>
      </c>
      <c r="F6" s="18">
        <f>E6*(1+F5)</f>
        <v>15359641209.545094</v>
      </c>
      <c r="G6" s="18">
        <f>F6*(1+G5)</f>
        <v>16443220131.489927</v>
      </c>
      <c r="H6" s="18">
        <f>G6*(1+H5)</f>
        <v>17416007002.83518</v>
      </c>
      <c r="I6" s="18">
        <f>H6*(1+I5)</f>
        <v>18248031925.021973</v>
      </c>
      <c r="J6" s="18">
        <f>I6*(1+J5)</f>
        <v>18912019187.81898</v>
      </c>
      <c r="K6" s="18">
        <f>J6*(1+K5)</f>
        <v>19384819667.514454</v>
      </c>
    </row>
    <row r="7" spans="1:11" x14ac:dyDescent="0.25">
      <c r="A7" t="s">
        <v>4</v>
      </c>
      <c r="B7" s="9">
        <f>Assumptions!B7</f>
        <v>0.4441843057500035</v>
      </c>
      <c r="C7" s="9">
        <f>Assumptions!B7</f>
        <v>0.4441843057500035</v>
      </c>
      <c r="D7" s="9">
        <f>Assumptions!B7</f>
        <v>0.4441843057500035</v>
      </c>
      <c r="E7" s="9">
        <f>Assumptions!B7</f>
        <v>0.4441843057500035</v>
      </c>
      <c r="F7" s="9">
        <f>Assumptions!B7</f>
        <v>0.4441843057500035</v>
      </c>
      <c r="G7" s="9">
        <f>Assumptions!B7</f>
        <v>0.4441843057500035</v>
      </c>
      <c r="H7" s="9">
        <f>Assumptions!B7</f>
        <v>0.4441843057500035</v>
      </c>
      <c r="I7" s="9">
        <f>Assumptions!B7</f>
        <v>0.4441843057500035</v>
      </c>
      <c r="J7" s="9">
        <f>Assumptions!B7</f>
        <v>0.4441843057500035</v>
      </c>
      <c r="K7" s="9">
        <f>Assumptions!B7</f>
        <v>0.4441843057500035</v>
      </c>
    </row>
    <row r="8" spans="1:11" x14ac:dyDescent="0.25">
      <c r="A8" t="s">
        <v>51</v>
      </c>
      <c r="B8" s="18">
        <f>B6*B7</f>
        <v>4677865785.199615</v>
      </c>
      <c r="C8" s="18">
        <f>C6*C7</f>
        <v>5220939344.867006</v>
      </c>
      <c r="D8" s="18">
        <f>D6*D7</f>
        <v>5767610922.285329</v>
      </c>
      <c r="E8" s="18">
        <f>E6*E7</f>
        <v>6305848560.47191</v>
      </c>
      <c r="F8" s="18">
        <f>F6*F7</f>
        <v>6822511567.230931</v>
      </c>
      <c r="G8" s="18">
        <f>G6*G7</f>
        <v>7303820318.400334</v>
      </c>
      <c r="H8" s="18">
        <f>H6*H7</f>
        <v>7735916979.491543</v>
      </c>
      <c r="I8" s="18">
        <f>I6*I7</f>
        <v>8105489391.919785</v>
      </c>
      <c r="J8" s="18">
        <f>J6*J7</f>
        <v>8400422113.2721195</v>
      </c>
      <c r="K8" s="18">
        <f>K6*K7</f>
        <v>8610432666.103922</v>
      </c>
    </row>
    <row r="9" spans="1:11" x14ac:dyDescent="0.25">
      <c r="A9" t="s">
        <v>52</v>
      </c>
      <c r="B9" s="18">
        <f>B8*(1-Assumptions!B8)</f>
        <v>3695513970.307696</v>
      </c>
      <c r="C9" s="18">
        <f>C8*(1-Assumptions!B8)</f>
        <v>4124542082.4449353</v>
      </c>
      <c r="D9" s="18">
        <f>D8*(1-Assumptions!B8)</f>
        <v>4556412628.60541</v>
      </c>
      <c r="E9" s="18">
        <f>E8*(1-Assumptions!B8)</f>
        <v>4981620362.772809</v>
      </c>
      <c r="F9" s="18">
        <f>F8*(1-Assumptions!B8)</f>
        <v>5389784138.112436</v>
      </c>
      <c r="G9" s="18">
        <f>G8*(1-Assumptions!B8)</f>
        <v>5770018051.536264</v>
      </c>
      <c r="H9" s="18">
        <f>H8*(1-Assumptions!B8)</f>
        <v>6111374413.798319</v>
      </c>
      <c r="I9" s="18">
        <f>I8*(1-Assumptions!B8)</f>
        <v>6403336619.616631</v>
      </c>
      <c r="J9" s="18">
        <f>J8*(1-Assumptions!B8)</f>
        <v>6636333469.484975</v>
      </c>
      <c r="K9" s="18">
        <f>K8*(1-Assumptions!B8)</f>
        <v>6802241806.222098</v>
      </c>
    </row>
    <row r="10" spans="1:11" x14ac:dyDescent="0.25">
      <c r="A10" t="s">
        <v>53</v>
      </c>
      <c r="B10" s="18">
        <f>B6*Assumptions!B9</f>
        <v>442720032.73107433</v>
      </c>
      <c r="C10" s="18">
        <f>C6*Assumptions!B9</f>
        <v>494117305.5797372</v>
      </c>
      <c r="D10" s="18">
        <f>D6*Assumptions!B9</f>
        <v>545855100.070021</v>
      </c>
      <c r="E10" s="18">
        <f>E6*Assumptions!B9</f>
        <v>596794694.2646611</v>
      </c>
      <c r="F10" s="18">
        <f>F6*Assumptions!B9</f>
        <v>645692433.9105898</v>
      </c>
      <c r="G10" s="18">
        <f>G6*Assumptions!B9</f>
        <v>691244195.3026448</v>
      </c>
      <c r="H10" s="18">
        <f>H6*Assumptions!B9</f>
        <v>732138452.796423</v>
      </c>
      <c r="I10" s="18">
        <f>I6*Assumptions!B9</f>
        <v>767115324.3100103</v>
      </c>
      <c r="J10" s="18">
        <f>J6*Assumptions!B9</f>
        <v>795028186.723398</v>
      </c>
      <c r="K10" s="18">
        <f>K6*Assumptions!B9</f>
        <v>814903891.3914828</v>
      </c>
    </row>
    <row r="11" spans="1:11" x14ac:dyDescent="0.25">
      <c r="A11" t="s">
        <v>54</v>
      </c>
      <c r="B11" s="18">
        <f>-B6*B19</f>
        <v>-234184516.7705439</v>
      </c>
      <c r="C11" s="18">
        <f>-C6*C19</f>
        <v>-343231516.15134907</v>
      </c>
      <c r="D11" s="18">
        <f>-D6*D19</f>
        <v>-469601252.2548103</v>
      </c>
      <c r="E11" s="18">
        <f>-E6*E19</f>
        <v>-612294669.00901</v>
      </c>
      <c r="F11" s="18">
        <f>-F6*F19</f>
        <v>-769433068.8407916</v>
      </c>
      <c r="G11" s="18">
        <f>-G6*G19</f>
        <v>-938231542.767983</v>
      </c>
      <c r="H11" s="18">
        <f>-H6*H19</f>
        <v>-1115029701.6590981</v>
      </c>
      <c r="I11" s="18">
        <f>-I6*I19</f>
        <v>-1295385251.7800515</v>
      </c>
      <c r="J11" s="18">
        <f>-J6*J19</f>
        <v>-1474231027.4978883</v>
      </c>
      <c r="K11" s="18">
        <f>-K6*K19</f>
        <v>-1646090442.504556</v>
      </c>
    </row>
    <row r="12" spans="1:11" x14ac:dyDescent="0.25">
      <c r="A12" t="s">
        <v>55</v>
      </c>
      <c r="B12" s="18">
        <f>-(B6-Assumptions!B29)*Assumptions!B11</f>
        <v>-638266599.356165</v>
      </c>
      <c r="C12" s="18">
        <f>-(C6-B6)*Assumptions!B11</f>
        <v>-458940240.237696</v>
      </c>
      <c r="D12" s="18">
        <f>-(D6-C6)*Assumptions!B11</f>
        <v>-461980850.66992325</v>
      </c>
      <c r="E12" s="18">
        <f>-(E6-D6)*Assumptions!B11</f>
        <v>-454853502.9501483</v>
      </c>
      <c r="F12" s="18">
        <f>-(F6-E6)*Assumptions!B11</f>
        <v>-436621227.86669827</v>
      </c>
      <c r="G12" s="18">
        <f>-(G6-F6)*Assumptions!B11</f>
        <v>-406744077.221284</v>
      </c>
      <c r="H12" s="18">
        <f>-(H6-G6)*Assumptions!B11</f>
        <v>-365155957.0835287</v>
      </c>
      <c r="I12" s="18">
        <f>-(I6-H6)*Assumptions!B11</f>
        <v>-312318006.8809124</v>
      </c>
      <c r="J12" s="18">
        <f>-(J6-I6)*Assumptions!B11</f>
        <v>-249241546.71477184</v>
      </c>
      <c r="K12" s="18">
        <f>-(K6-J6)*Assumptions!B11</f>
        <v>-177475577.3934352</v>
      </c>
    </row>
    <row r="13" spans="1:11" x14ac:dyDescent="0.25">
      <c r="A13" s="19" t="s">
        <v>56</v>
      </c>
      <c r="B13" s="20">
        <f>B9+B10+B11+B12</f>
        <v>3265782886.912061</v>
      </c>
      <c r="C13" s="20">
        <f>C9+C10+C11+C12</f>
        <v>3816487631.6356273</v>
      </c>
      <c r="D13" s="20">
        <f>D9+D10+D11+D12</f>
        <v>4170685625.7506967</v>
      </c>
      <c r="E13" s="20">
        <f>E9+E10+E11+E12</f>
        <v>4511266885.078311</v>
      </c>
      <c r="F13" s="20">
        <f>F9+F10+F11+F12</f>
        <v>4829422275.3155365</v>
      </c>
      <c r="G13" s="20">
        <f>G9+G10+G11+G12</f>
        <v>5116286626.849643</v>
      </c>
      <c r="H13" s="20">
        <f>H9+H10+H11+H12</f>
        <v>5363327207.852116</v>
      </c>
      <c r="I13" s="20">
        <f>I9+I10+I11+I12</f>
        <v>5562748685.2656765</v>
      </c>
      <c r="J13" s="20">
        <f>J9+J10+J11+J12</f>
        <v>5707889081.995712</v>
      </c>
      <c r="K13" s="20">
        <f>K9+K10+K11+K12</f>
        <v>5793579677.71559</v>
      </c>
    </row>
    <row r="14" spans="1:11" x14ac:dyDescent="0.25">
      <c r="A14" t="s">
        <v>57</v>
      </c>
      <c r="B14" s="21">
        <f>1/(1+Assumptions!$B$26)^(1-0.5*Assumptions!$B$32)</f>
        <v>0.9640785899319432</v>
      </c>
      <c r="C14" s="21">
        <f>1/(1+Assumptions!$B$26)^(2-0.5*Assumptions!$B$32)</f>
        <v>0.8960604617907543</v>
      </c>
      <c r="D14" s="21">
        <f>1/(1+Assumptions!$B$26)^(3-0.5*Assumptions!$B$32)</f>
        <v>0.8328411807603155</v>
      </c>
      <c r="E14" s="21">
        <f>1/(1+Assumptions!$B$26)^(4-0.5*Assumptions!$B$32)</f>
        <v>0.7740821763121273</v>
      </c>
      <c r="F14" s="21">
        <f>1/(1+Assumptions!$B$26)^(5-0.5*Assumptions!$B$32)</f>
        <v>0.719468764905568</v>
      </c>
      <c r="G14" s="21">
        <f>1/(1+Assumptions!$B$26)^(6-0.5*Assumptions!$B$32)</f>
        <v>0.6687084647018424</v>
      </c>
      <c r="H14" s="21">
        <f>1/(1+Assumptions!$B$26)^(7-0.5*Assumptions!$B$32)</f>
        <v>0.6215294291790242</v>
      </c>
      <c r="I14" s="21">
        <f>1/(1+Assumptions!$B$26)^(8-0.5*Assumptions!$B$32)</f>
        <v>0.5776789912594318</v>
      </c>
      <c r="J14" s="21">
        <f>1/(1+Assumptions!$B$26)^(9-0.5*Assumptions!$B$32)</f>
        <v>0.5369223101524168</v>
      </c>
      <c r="K14" s="21">
        <f>1/(1+Assumptions!$B$26)^(10-0.5*Assumptions!$B$32)</f>
        <v>0.4990411136657399</v>
      </c>
    </row>
    <row r="15" spans="1:11" x14ac:dyDescent="0.25">
      <c r="A15" s="19" t="s">
        <v>58</v>
      </c>
      <c r="B15" s="20">
        <f>B13*B14</f>
        <v>3148471360.6380506</v>
      </c>
      <c r="C15" s="20">
        <f>C13*C14</f>
        <v>3419803669.6221223</v>
      </c>
      <c r="D15" s="20">
        <f>D13*D14</f>
        <v>3473518741.1302857</v>
      </c>
      <c r="E15" s="20">
        <f>E13*E14</f>
        <v>3492091288.3262506</v>
      </c>
      <c r="F15" s="20">
        <f>F13*F14</f>
        <v>3474618479.628707</v>
      </c>
      <c r="G15" s="20">
        <f>G13*G14</f>
        <v>3421304175.215193</v>
      </c>
      <c r="H15" s="20">
        <f>H13*H14</f>
        <v>3333465697.996655</v>
      </c>
      <c r="I15" s="20">
        <f>I13*I14</f>
        <v>3213483049.1340065</v>
      </c>
      <c r="J15" s="20">
        <f>J13*J14</f>
        <v>3064692991.998895</v>
      </c>
      <c r="K15" s="20">
        <f>K13*K14</f>
        <v>2891234454.4783864</v>
      </c>
    </row>
    <row r="17" spans="1:2" x14ac:dyDescent="0.25">
      <c r="A17" s="22" t="s">
        <v>59</v>
      </c>
      <c r="B17" s="23">
        <f>SUM(B15:K15)</f>
        <v>32932683908.16855</v>
      </c>
    </row>
    <row r="19" spans="1:11" x14ac:dyDescent="0.25">
      <c r="A19" t="s">
        <v>7</v>
      </c>
      <c r="B19" s="9">
        <f>Assumptions!$B$10+($B$20-Assumptions!$B$10)*0/9</f>
        <v>0.02223686864386711</v>
      </c>
      <c r="C19" s="9">
        <f>Assumptions!$B$10+($B$20-Assumptions!$B$10)*1/9</f>
        <v>0.029201268707152863</v>
      </c>
      <c r="D19" s="9">
        <f>Assumptions!$B$10+($B$20-Assumptions!$B$10)*2/9</f>
        <v>0.036165668770438614</v>
      </c>
      <c r="E19" s="9">
        <f>Assumptions!$B$10+($B$20-Assumptions!$B$10)*3/9</f>
        <v>0.043130068833724375</v>
      </c>
      <c r="F19" s="9">
        <f>Assumptions!$B$10+($B$20-Assumptions!$B$10)*4/9</f>
        <v>0.05009446889701012</v>
      </c>
      <c r="G19" s="9">
        <f>Assumptions!$B$10+($B$20-Assumptions!$B$10)*5/9</f>
        <v>0.05705886896029588</v>
      </c>
      <c r="H19" s="9">
        <f>Assumptions!$B$10+($B$20-Assumptions!$B$10)*6/9</f>
        <v>0.06402326902358163</v>
      </c>
      <c r="I19" s="9">
        <f>Assumptions!$B$10+($B$20-Assumptions!$B$10)*7/9</f>
        <v>0.07098766908686739</v>
      </c>
      <c r="J19" s="9">
        <f>Assumptions!$B$10+($B$20-Assumptions!$B$10)*8/9</f>
        <v>0.07795206915015314</v>
      </c>
      <c r="K19" s="9">
        <f>Assumptions!$B$10+($B$20-Assumptions!$B$10)*9/9</f>
        <v>0.0849164692134389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0.0849164692134389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5793579677.71559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7146702989.363576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0.1773144017741048</v>
      </c>
    </row>
    <row r="7" spans="1:2" x14ac:dyDescent="0.25">
      <c r="A7" t="s">
        <v>66</v>
      </c>
      <c r="B7" s="18">
        <f>-MAX(B5,0)*B6</f>
        <v>-1267213365.216209</v>
      </c>
    </row>
    <row r="8" spans="1:2" x14ac:dyDescent="0.25">
      <c r="A8" t="s">
        <v>67</v>
      </c>
      <c r="B8" s="18">
        <f>IF(OR(Assumptions!$B$33=0,Assumptions!B12&lt;=0),B5,MAX(B5+B7,0))</f>
        <v>5879489624.1473675</v>
      </c>
    </row>
    <row r="9" spans="1:2" x14ac:dyDescent="0.25">
      <c r="A9" t="s">
        <v>68</v>
      </c>
      <c r="B9" s="18">
        <f>B8*(1+Assumptions!B12)/(Assumptions!B26-Assumptions!B12)</f>
        <v>118379837114.5288</v>
      </c>
    </row>
    <row r="10" spans="1:2" x14ac:dyDescent="0.25">
      <c r="A10" t="s">
        <v>69</v>
      </c>
      <c r="B10" s="18">
        <f>B9/(1+Assumptions!B26)^(10-0.5*Assumptions!B32)</f>
        <v>59076405749.20334</v>
      </c>
    </row>
    <row r="11" spans="1:2" x14ac:dyDescent="0.25">
      <c r="A11" t="s">
        <v>70</v>
      </c>
      <c r="B11" s="18">
        <f>Forecast!B17+B10</f>
        <v>92009089657.37189</v>
      </c>
    </row>
    <row r="12" spans="1:2" x14ac:dyDescent="0.25">
      <c r="A12" t="s">
        <v>71</v>
      </c>
      <c r="B12" s="18">
        <f>-Assumptions!B30</f>
        <v>-27222000000</v>
      </c>
    </row>
    <row r="13" spans="1:2" x14ac:dyDescent="0.25">
      <c r="A13" t="s">
        <v>72</v>
      </c>
      <c r="B13" s="18">
        <f>B11+B12</f>
        <v>64787089657.37189</v>
      </c>
    </row>
    <row r="14" spans="1:2" x14ac:dyDescent="0.25">
      <c r="A14" s="19" t="s">
        <v>73</v>
      </c>
      <c r="B14" s="24">
        <f>B13/Assumptions!B31</f>
        <v>1113.1802346627471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9425336557.495405</v>
      </c>
    </row>
    <row r="18" spans="1:2" x14ac:dyDescent="0.25">
      <c r="A18" t="s">
        <v>68</v>
      </c>
      <c r="B18" s="18">
        <f>B17*Assumptions!B13</f>
        <v>187459257600.89877</v>
      </c>
    </row>
    <row r="19" spans="1:2" x14ac:dyDescent="0.25">
      <c r="A19" t="s">
        <v>69</v>
      </c>
      <c r="B19" s="18">
        <f>B18/(1+Assumptions!B26)^(10-0.5*Assumptions!B32)</f>
        <v>93549876680.10533</v>
      </c>
    </row>
    <row r="20" spans="1:2" x14ac:dyDescent="0.25">
      <c r="A20" t="s">
        <v>70</v>
      </c>
      <c r="B20" s="18">
        <f>Forecast!B17+B19</f>
        <v>126482560588.27388</v>
      </c>
    </row>
    <row r="21" spans="1:2" x14ac:dyDescent="0.25">
      <c r="A21" t="s">
        <v>71</v>
      </c>
      <c r="B21" s="18">
        <f>-Assumptions!B30</f>
        <v>-27222000000</v>
      </c>
    </row>
    <row r="22" spans="1:2" x14ac:dyDescent="0.25">
      <c r="A22" t="s">
        <v>72</v>
      </c>
      <c r="B22" s="18">
        <f>B20+B21</f>
        <v>99260560588.27388</v>
      </c>
    </row>
    <row r="23" spans="1:2" x14ac:dyDescent="0.25">
      <c r="A23" s="19" t="s">
        <v>73</v>
      </c>
      <c r="B23" s="25">
        <f>B22/Assumptions!B31</f>
        <v>1705.5079138878673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1146.81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1113.1802346627471</v>
      </c>
    </row>
    <row r="29" spans="1:2" x14ac:dyDescent="0.25">
      <c r="A29" s="19" t="s">
        <v>81</v>
      </c>
      <c r="B29" s="11">
        <f>B28/B26-1</f>
        <v>-0.029324618147079984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0.055908</v>
      </c>
      <c r="B5" s="31">
        <v>1804.0325165640343</v>
      </c>
      <c r="C5" s="31">
        <v>1952.1153177592666</v>
      </c>
      <c r="D5" s="31">
        <v>2151.5924401313964</v>
      </c>
      <c r="E5" s="31">
        <v>2432.2197435558874</v>
      </c>
      <c r="F5" s="31">
        <v>2852.216699803611</v>
      </c>
    </row>
    <row r="6" spans="1:6" x14ac:dyDescent="0.25">
      <c r="A6" s="30">
        <v>0.065908</v>
      </c>
      <c r="B6" s="31">
        <v>1342.972479243702</v>
      </c>
      <c r="C6" s="31">
        <v>1414.1378890879753</v>
      </c>
      <c r="D6" s="31">
        <v>1505.1828573139367</v>
      </c>
      <c r="E6" s="31">
        <v>1624.4117555302907</v>
      </c>
      <c r="F6" s="31">
        <v>1785.5025619257215</v>
      </c>
    </row>
    <row r="7" spans="1:6" x14ac:dyDescent="0.25">
      <c r="A7" s="30">
        <v>0.075908</v>
      </c>
      <c r="B7" s="31">
        <v>1034.20728150576</v>
      </c>
      <c r="C7" s="31">
        <v>1069.304082849093</v>
      </c>
      <c r="D7" s="32">
        <v>1113.179202110389</v>
      </c>
      <c r="E7" s="31">
        <v>1168.70087072577</v>
      </c>
      <c r="F7" s="31">
        <v>1240.139604005475</v>
      </c>
    </row>
    <row r="8" spans="1:6" x14ac:dyDescent="0.25">
      <c r="A8" s="30">
        <v>0.085908</v>
      </c>
      <c r="B8" s="31">
        <v>813.2473409235503</v>
      </c>
      <c r="C8" s="31">
        <v>829.6570284514883</v>
      </c>
      <c r="D8" s="31">
        <v>850.2492323235665</v>
      </c>
      <c r="E8" s="31">
        <v>876.1461129669525</v>
      </c>
      <c r="F8" s="31">
        <v>908.9106889950194</v>
      </c>
    </row>
    <row r="9" spans="1:6" x14ac:dyDescent="0.25">
      <c r="A9" s="30">
        <v>0.095908</v>
      </c>
      <c r="B9" s="31">
        <v>647.4901920458756</v>
      </c>
      <c r="C9" s="31">
        <v>653.5921013215064</v>
      </c>
      <c r="D9" s="31">
        <v>661.7638177955716</v>
      </c>
      <c r="E9" s="31">
        <v>672.4764088343477</v>
      </c>
      <c r="F9" s="31">
        <v>686.3556234112148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8831000000</v>
      </c>
      <c r="C5" s="18">
        <v>7940000000</v>
      </c>
      <c r="D5" s="18">
        <v>6585000000</v>
      </c>
      <c r="E5" s="18">
        <v>5429000000</v>
      </c>
      <c r="F5" s="6" t="s">
        <v>91</v>
      </c>
    </row>
    <row r="6" spans="1:6" x14ac:dyDescent="0.25">
      <c r="A6" t="s">
        <v>51</v>
      </c>
      <c r="B6" s="18">
        <v>4189000000</v>
      </c>
      <c r="C6" s="18">
        <v>3577000000</v>
      </c>
      <c r="D6" s="18">
        <v>2923000000</v>
      </c>
      <c r="E6" s="18">
        <v>2215000000</v>
      </c>
      <c r="F6" s="6" t="s">
        <v>92</v>
      </c>
    </row>
    <row r="7" spans="1:6" x14ac:dyDescent="0.25">
      <c r="A7" t="s">
        <v>93</v>
      </c>
      <c r="B7" s="18">
        <v>367000000</v>
      </c>
      <c r="C7" s="18">
        <v>312000000</v>
      </c>
      <c r="D7" s="18">
        <v>268000000</v>
      </c>
      <c r="E7" s="18">
        <v>253000000</v>
      </c>
      <c r="F7" s="6" t="s">
        <v>94</v>
      </c>
    </row>
    <row r="8" spans="1:6" x14ac:dyDescent="0.25">
      <c r="A8" t="s">
        <v>95</v>
      </c>
      <c r="B8" s="18">
        <v>222000000</v>
      </c>
      <c r="C8" s="18">
        <v>165000000</v>
      </c>
      <c r="D8" s="18">
        <v>139000000</v>
      </c>
      <c r="E8" s="18">
        <v>119000000</v>
      </c>
      <c r="F8" s="6" t="s">
        <v>96</v>
      </c>
    </row>
    <row r="9" spans="1:6" x14ac:dyDescent="0.25">
      <c r="A9" t="s">
        <v>97</v>
      </c>
      <c r="B9" s="18">
        <v>558000000</v>
      </c>
      <c r="C9" s="18">
        <v>302000000</v>
      </c>
      <c r="D9" s="18">
        <v>431000000</v>
      </c>
      <c r="E9" s="18">
        <v>291000000</v>
      </c>
      <c r="F9" s="6" t="s">
        <v>98</v>
      </c>
    </row>
    <row r="10" spans="1:6" x14ac:dyDescent="0.25">
      <c r="A10" t="s">
        <v>99</v>
      </c>
      <c r="B10" s="18">
        <v>30030000000</v>
      </c>
      <c r="C10" s="18">
        <v>24899000000</v>
      </c>
      <c r="D10" s="18">
        <v>19766000000</v>
      </c>
      <c r="E10" s="18">
        <v>19813000000</v>
      </c>
      <c r="F10" s="6" t="s">
        <v>100</v>
      </c>
    </row>
    <row r="11" spans="1:6" x14ac:dyDescent="0.25">
      <c r="A11" t="s">
        <v>101</v>
      </c>
      <c r="B11" s="18">
        <v>2808000000</v>
      </c>
      <c r="C11" s="18">
        <v>6261000000</v>
      </c>
      <c r="D11" s="18">
        <v>3472000000</v>
      </c>
      <c r="E11" s="18">
        <v>3001000000</v>
      </c>
      <c r="F11" s="6" t="s">
        <v>102</v>
      </c>
    </row>
    <row r="12" spans="1:6" x14ac:dyDescent="0.25">
      <c r="A12" t="s">
        <v>34</v>
      </c>
      <c r="B12" s="34">
        <v>58200000</v>
      </c>
      <c r="C12" s="34">
        <v>57800000</v>
      </c>
      <c r="D12" s="34">
        <v>57200000</v>
      </c>
      <c r="E12" s="34">
        <v>58200000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