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<sst xmlns="http://schemas.openxmlformats.org/spreadsheetml/2006/main" count="111" uniqueCount="99">
  <si>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TransDigm Group Incorporated (TDG)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</si>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</sst>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0.17606144961795578</v>
      </c>
    </row>
    <row r="7" spans="1:2" x14ac:dyDescent="0.25">
      <c r="A7" t="s">
        <v>5</v>
      </c>
      <c r="B7" s="6">
        <v>0.4441843057500035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0.042038249793838335</v>
      </c>
    </row>
    <row r="10" spans="1:2" x14ac:dyDescent="0.25">
      <c r="A10" t="s">
        <v>8</v>
      </c>
      <c r="B10" s="6">
        <v>0.02223686864386711</v>
      </c>
    </row>
    <row r="11" spans="1:2" x14ac:dyDescent="0.25">
      <c r="A11" t="s">
        <v>9</v>
      </c>
      <c r="B11" s="6">
        <v>0.3728373702422145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19.151684186128183</v>
      </c>
    </row>
    <row r="14" spans="1:3" x14ac:dyDescent="0.25">
      <c r="A14" t="s">
        <v>12</v>
      </c>
      <c r="B14" s="6">
        <v>0.14099249553259374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0.92831</v>
      </c>
      <c r="C19" s="8" t="s">
        <v>19</v>
      </c>
    </row>
    <row r="20" spans="1:2" x14ac:dyDescent="0.25">
      <c r="A20" t="s">
        <v>20</v>
      </c>
      <c r="B20" s="10">
        <f>B17+B19*B18</f>
        <v>0.10103705</v>
      </c>
    </row>
    <row r="21" spans="1:3" x14ac:dyDescent="0.25">
      <c r="A21" t="s">
        <v>21</v>
      </c>
      <c r="B21" s="6">
        <v>0.05723752480474795</v>
      </c>
      <c r="C21" s="8" t="s">
        <v>22</v>
      </c>
    </row>
    <row r="22" spans="1:2" x14ac:dyDescent="0.25">
      <c r="A22" t="s">
        <v>23</v>
      </c>
      <c r="B22" s="11">
        <v>60033073152</v>
      </c>
    </row>
    <row r="23" spans="1:2" x14ac:dyDescent="0.25">
      <c r="A23" t="s">
        <v>24</v>
      </c>
      <c r="B23" s="11">
        <v>30030000000</v>
      </c>
    </row>
    <row r="24" spans="1:2" x14ac:dyDescent="0.25">
      <c r="A24" t="s">
        <v>25</v>
      </c>
      <c r="B24" s="10">
        <f>B22/(B22+B23)</f>
        <v>0.66656700744246</v>
      </c>
    </row>
    <row r="25" spans="1:2" x14ac:dyDescent="0.25">
      <c r="A25" t="s">
        <v>26</v>
      </c>
      <c r="B25" s="10">
        <f>1-B24</f>
        <v>0.33343299255754</v>
      </c>
    </row>
    <row r="26" spans="1:2" x14ac:dyDescent="0.25">
      <c r="A26" t="s">
        <v>27</v>
      </c>
      <c r="B26" s="12">
        <f>B24*B20+B25*B21*(1-B8)</f>
        <v>0.0824250186132787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8831000000</v>
      </c>
      <c r="C29" s="8" t="s">
        <v>30</v>
      </c>
    </row>
    <row r="30" spans="1:2" x14ac:dyDescent="0.25">
      <c r="A30" t="s">
        <v>31</v>
      </c>
      <c r="B30" s="11">
        <v>27222000000</v>
      </c>
    </row>
    <row r="31" spans="1:2" x14ac:dyDescent="0.25">
      <c r="A31" t="s">
        <v>32</v>
      </c>
      <c r="B31" s="13">
        <v>58200000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0.17606144961795578</v>
      </c>
      <c r="C5" s="10">
        <f>Assumptions!B6</f>
        <v>0.17606144961795578</v>
      </c>
      <c r="D5" s="10">
        <f>Assumptions!B6</f>
        <v>0.17606144961795578</v>
      </c>
      <c r="E5" s="10">
        <f>Assumptions!B6</f>
        <v>0.17606144961795578</v>
      </c>
      <c r="F5" s="10">
        <f>Assumptions!B6</f>
        <v>0.17606144961795578</v>
      </c>
    </row>
    <row r="6" spans="1:6" x14ac:dyDescent="0.25">
      <c r="A6" t="s">
        <v>43</v>
      </c>
      <c r="B6" s="18">
        <f>Assumptions!B29*(1+B5)</f>
        <v>10385798661.576168</v>
      </c>
      <c r="C6" s="18">
        <f>B6*(1+C5)</f>
        <v>12214337429.373493</v>
      </c>
      <c r="D6" s="18">
        <f>C6*(1+D5)</f>
        <v>14364811383.311846</v>
      </c>
      <c r="E6" s="18">
        <f>D6*(1+E5)</f>
        <v>16893900898.946241</v>
      </c>
      <c r="F6" s="18">
        <f>E6*(1+F5)</f>
        <v>19868265580.9168</v>
      </c>
    </row>
    <row r="7" spans="1:6" x14ac:dyDescent="0.25">
      <c r="A7" t="s">
        <v>5</v>
      </c>
      <c r="B7" s="10">
        <f>Assumptions!B7</f>
        <v>0.4441843057500035</v>
      </c>
      <c r="C7" s="10">
        <f>Assumptions!B7</f>
        <v>0.4441843057500035</v>
      </c>
      <c r="D7" s="10">
        <f>Assumptions!B7</f>
        <v>0.4441843057500035</v>
      </c>
      <c r="E7" s="10">
        <f>Assumptions!B7</f>
        <v>0.4441843057500035</v>
      </c>
      <c r="F7" s="10">
        <f>Assumptions!B7</f>
        <v>0.4441843057500035</v>
      </c>
    </row>
    <row r="8" spans="1:6" x14ac:dyDescent="0.25">
      <c r="A8" t="s">
        <v>44</v>
      </c>
      <c r="B8" s="18">
        <f>B6*B7</f>
        <v>4613208768.1515255</v>
      </c>
      <c r="C8" s="18">
        <f>C6*C7</f>
        <v>5425416991.2625475</v>
      </c>
      <c r="D8" s="18">
        <f>D6*D7</f>
        <v>6380623771.526119</v>
      </c>
      <c r="E8" s="18">
        <f>E6*E7</f>
        <v>7504005642.207796</v>
      </c>
      <c r="F8" s="18">
        <f>F6*F7</f>
        <v>8825171753.51622</v>
      </c>
    </row>
    <row r="9" spans="1:6" x14ac:dyDescent="0.25">
      <c r="A9" t="s">
        <v>45</v>
      </c>
      <c r="B9" s="18">
        <f>B8*(1-Assumptions!B8)</f>
        <v>3644434926.8397055</v>
      </c>
      <c r="C9" s="18">
        <f>C8*(1-Assumptions!B8)</f>
        <v>4286079423.0974126</v>
      </c>
      <c r="D9" s="18">
        <f>D8*(1-Assumptions!B8)</f>
        <v>5040692779.505634</v>
      </c>
      <c r="E9" s="18">
        <f>E8*(1-Assumptions!B8)</f>
        <v>5928164457.344159</v>
      </c>
      <c r="F9" s="18">
        <f>F8*(1-Assumptions!B8)</f>
        <v>6971885685.277814</v>
      </c>
    </row>
    <row r="10" spans="1:6" x14ac:dyDescent="0.25">
      <c r="A10" t="s">
        <v>46</v>
      </c>
      <c r="B10" s="18">
        <f>B6*Assumptions!B9</f>
        <v>436600798.4438508</v>
      </c>
      <c r="C10" s="18">
        <f>C6*Assumptions!B9</f>
        <v>513469367.9222321</v>
      </c>
      <c r="D10" s="18">
        <f>D6*Assumptions!B9</f>
        <v>603871529.1730357</v>
      </c>
      <c r="E10" s="18">
        <f>E6*Assumptions!B9</f>
        <v>710190025.9822521</v>
      </c>
      <c r="F10" s="18">
        <f>F6*Assumptions!B9</f>
        <v>835227111.460901</v>
      </c>
    </row>
    <row r="11" spans="1:6" x14ac:dyDescent="0.25">
      <c r="A11" t="s">
        <v>47</v>
      </c>
      <c r="B11" s="18">
        <f>-B6*Assumptions!B10</f>
        <v>-230947640.59912008</v>
      </c>
      <c r="C11" s="18">
        <f>-C6*Assumptions!B10</f>
        <v>-271608616.9888478</v>
      </c>
      <c r="D11" s="18">
        <f>-D6*Assumptions!B10</f>
        <v>-319428423.82463247</v>
      </c>
      <c r="E11" s="18">
        <f>-E6*Assumptions!B10</f>
        <v>-375667455.17237604</v>
      </c>
      <c r="F11" s="18">
        <f>-F6*Assumptions!B10</f>
        <v>-441808011.90431297</v>
      </c>
    </row>
    <row r="12" spans="1:6" x14ac:dyDescent="0.25">
      <c r="A12" t="s">
        <v>48</v>
      </c>
      <c r="B12" s="18">
        <f>-(B6-Assumptions!B29)*Assumptions!B11</f>
        <v>-579687044.2381734</v>
      </c>
      <c r="C12" s="18">
        <f>-(C6-B6)*Assumptions!B11</f>
        <v>-681747585.5714941</v>
      </c>
      <c r="D12" s="18">
        <f>-(D6-C6)*Assumptions!B11</f>
        <v>-801777053.7607526</v>
      </c>
      <c r="E12" s="18">
        <f>-(E6-D6)*Assumptions!B11</f>
        <v>-942939084.1162841</v>
      </c>
      <c r="F12" s="18">
        <f>-(F6-E6)*Assumptions!B11</f>
        <v>-1108954306.1672244</v>
      </c>
    </row>
    <row r="13" spans="1:6" x14ac:dyDescent="0.25">
      <c r="A13" s="19" t="s">
        <v>49</v>
      </c>
      <c r="B13" s="20">
        <f>B9+B10+B11+B12</f>
        <v>3270401040.446263</v>
      </c>
      <c r="C13" s="20">
        <f>C9+C10+C11+C12</f>
        <v>3846192588.459303</v>
      </c>
      <c r="D13" s="20">
        <f>D9+D10+D11+D12</f>
        <v>4523358831.093285</v>
      </c>
      <c r="E13" s="20">
        <f>E9+E10+E11+E12</f>
        <v>5319747944.037751</v>
      </c>
      <c r="F13" s="20">
        <f>F9+F10+F11+F12</f>
        <v>6256350478.667177</v>
      </c>
    </row>
    <row r="14" spans="1:6" x14ac:dyDescent="0.25">
      <c r="A14" t="s">
        <v>50</v>
      </c>
      <c r="B14" s="21">
        <f>1/(1+Assumptions!$B$26)^(1-0.5*Assumptions!$B$32)</f>
        <v>0.9611719519271934</v>
      </c>
      <c r="C14" s="21">
        <f>1/(1+Assumptions!$B$26)^(2-0.5*Assumptions!$B$32)</f>
        <v>0.887980169895347</v>
      </c>
      <c r="D14" s="21">
        <f>1/(1+Assumptions!$B$26)^(3-0.5*Assumptions!$B$32)</f>
        <v>0.8203618307279706</v>
      </c>
      <c r="E14" s="21">
        <f>1/(1+Assumptions!$B$26)^(4-0.5*Assumptions!$B$32)</f>
        <v>0.7578925252290976</v>
      </c>
      <c r="F14" s="21">
        <f>1/(1+Assumptions!$B$26)^(5-0.5*Assumptions!$B$32)</f>
        <v>0.7001801623174344</v>
      </c>
    </row>
    <row r="15" spans="1:6" x14ac:dyDescent="0.25">
      <c r="A15" s="19" t="s">
        <v>51</v>
      </c>
      <c r="B15" s="20">
        <f>B13*B14</f>
        <v>3143417751.630459</v>
      </c>
      <c r="C15" s="20">
        <f>C13*C14</f>
        <v>3415342748.150316</v>
      </c>
      <c r="D15" s="20">
        <f>D13*D14</f>
        <v>3710790931.7152205</v>
      </c>
      <c r="E15" s="20">
        <f>E13*E14</f>
        <v>4031797202.889071</v>
      </c>
      <c r="F15" s="20">
        <f>F13*F14</f>
        <v>4380572493.667943</v>
      </c>
    </row>
    <row r="17" spans="1:2" x14ac:dyDescent="0.25">
      <c r="A17" s="22" t="s">
        <v>52</v>
      </c>
      <c r="B17" s="23">
        <f>SUM(B15:F15)</f>
        <v>18681921128.05301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6256350478.667177</v>
      </c>
    </row>
    <row r="5" spans="1:2" x14ac:dyDescent="0.25">
      <c r="A5" t="s">
        <v>56</v>
      </c>
      <c r="B5" s="18">
        <f>IF(Assumptions!$B$33=0,B4,B4-Forecast!F11-Forecast!F10-Forecast!F12)</f>
        <v>7324937526.169621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0.1773144017741048</v>
      </c>
    </row>
    <row r="7" spans="1:2" x14ac:dyDescent="0.25">
      <c r="A7" t="s">
        <v>58</v>
      </c>
      <c r="B7" s="18">
        <f>-MAX(Forecast!F9,0)*B6</f>
        <v>-1298816915.4854574</v>
      </c>
    </row>
    <row r="8" spans="1:2" x14ac:dyDescent="0.25">
      <c r="A8" t="s">
        <v>59</v>
      </c>
      <c r="B8" s="18">
        <f>IF(OR(Assumptions!$B$33=0,Assumptions!B12&lt;=0),B5,MAX(B5+B7,0))</f>
        <v>6026120610.684164</v>
      </c>
    </row>
    <row r="9" spans="1:2" x14ac:dyDescent="0.25">
      <c r="A9" t="s">
        <v>60</v>
      </c>
      <c r="B9" s="18">
        <f>B8*(1+Assumptions!B12)/(Assumptions!B26-Assumptions!B12)</f>
        <v>107562413998.46893</v>
      </c>
    </row>
    <row r="10" spans="1:2" x14ac:dyDescent="0.25">
      <c r="A10" t="s">
        <v>61</v>
      </c>
      <c r="B10" s="18">
        <f>B9/(1+Assumptions!B26)^(5-0.5*Assumptions!B32)</f>
        <v>75313068492.70306</v>
      </c>
    </row>
    <row r="11" spans="1:2" x14ac:dyDescent="0.25">
      <c r="A11" t="s">
        <v>62</v>
      </c>
      <c r="B11" s="18">
        <f>Forecast!B17+B10</f>
        <v>93994989620.75607</v>
      </c>
    </row>
    <row r="12" spans="1:2" x14ac:dyDescent="0.25">
      <c r="A12" t="s">
        <v>63</v>
      </c>
      <c r="B12" s="18">
        <f>-Assumptions!B30</f>
        <v>-27222000000</v>
      </c>
    </row>
    <row r="13" spans="1:2" x14ac:dyDescent="0.25">
      <c r="A13" t="s">
        <v>64</v>
      </c>
      <c r="B13" s="18">
        <f>B11+B12</f>
        <v>66772989620.75607</v>
      </c>
    </row>
    <row r="14" spans="1:2" x14ac:dyDescent="0.25">
      <c r="A14" s="19" t="s">
        <v>65</v>
      </c>
      <c r="B14" s="24">
        <f>B13/Assumptions!B31</f>
        <v>1147.3022271607572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9660398864.977121</v>
      </c>
    </row>
    <row r="18" spans="1:2" x14ac:dyDescent="0.25">
      <c r="A18" t="s">
        <v>60</v>
      </c>
      <c r="B18" s="18">
        <f>B17*Assumptions!B13</f>
        <v>185012908174.07297</v>
      </c>
    </row>
    <row r="19" spans="1:2" x14ac:dyDescent="0.25">
      <c r="A19" t="s">
        <v>61</v>
      </c>
      <c r="B19" s="18">
        <f>B18/(1+Assumptions!B26)^(5-0.5*Assumptions!B32)</f>
        <v>129542368076.14299</v>
      </c>
    </row>
    <row r="20" spans="1:2" x14ac:dyDescent="0.25">
      <c r="A20" t="s">
        <v>62</v>
      </c>
      <c r="B20" s="18">
        <f>Forecast!B17+B19</f>
        <v>148224289204.19598</v>
      </c>
    </row>
    <row r="21" spans="1:2" x14ac:dyDescent="0.25">
      <c r="A21" t="s">
        <v>63</v>
      </c>
      <c r="B21" s="18">
        <f>-Assumptions!B30</f>
        <v>-27222000000</v>
      </c>
    </row>
    <row r="22" spans="1:2" x14ac:dyDescent="0.25">
      <c r="A22" t="s">
        <v>64</v>
      </c>
      <c r="B22" s="18">
        <f>B20+B21</f>
        <v>121002289204.19598</v>
      </c>
    </row>
    <row r="23" spans="1:2" x14ac:dyDescent="0.25">
      <c r="A23" s="19" t="s">
        <v>65</v>
      </c>
      <c r="B23" s="25">
        <f>B22/Assumptions!B31</f>
        <v>2079.0771340927145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1086.05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1147.3022271607572</v>
      </c>
    </row>
    <row r="29" spans="1:2" x14ac:dyDescent="0.25">
      <c r="A29" s="19" t="s">
        <v>73</v>
      </c>
      <c r="B29" s="12">
        <f>B28/B26-1</f>
        <v>0.05639908582547504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0.062425</v>
      </c>
      <c r="B5" s="31">
        <v>1702.6701332960358</v>
      </c>
      <c r="C5" s="31">
        <v>1847.070639857955</v>
      </c>
      <c r="D5" s="31">
        <v>2029.1469801530943</v>
      </c>
      <c r="E5" s="31">
        <v>2266.3282214443166</v>
      </c>
      <c r="F5" s="31">
        <v>2588.753780867128</v>
      </c>
    </row>
    <row r="6" spans="1:6" x14ac:dyDescent="0.25">
      <c r="A6" s="30">
        <v>0.072425</v>
      </c>
      <c r="B6" s="31">
        <v>1312.5856958965962</v>
      </c>
      <c r="C6" s="31">
        <v>1395.432447832572</v>
      </c>
      <c r="D6" s="31">
        <v>1495.0611410831482</v>
      </c>
      <c r="E6" s="31">
        <v>1617.4052846576133</v>
      </c>
      <c r="F6" s="31">
        <v>1771.5692674633372</v>
      </c>
    </row>
    <row r="7" spans="1:6" x14ac:dyDescent="0.25">
      <c r="A7" s="30">
        <v>0.082425</v>
      </c>
      <c r="B7" s="31">
        <v>1038.7168201963052</v>
      </c>
      <c r="C7" s="31">
        <v>1088.9114436526818</v>
      </c>
      <c r="D7" s="32">
        <v>1147.302761447694</v>
      </c>
      <c r="E7" s="31">
        <v>1216.2360366253015</v>
      </c>
      <c r="F7" s="31">
        <v>1299.0455730492665</v>
      </c>
    </row>
    <row r="8" spans="1:6" x14ac:dyDescent="0.25">
      <c r="A8" s="30">
        <v>0.092425</v>
      </c>
      <c r="B8" s="31">
        <v>836.0116548094582</v>
      </c>
      <c r="C8" s="31">
        <v>867.3801343457624</v>
      </c>
      <c r="D8" s="31">
        <v>902.9562606805038</v>
      </c>
      <c r="E8" s="31">
        <v>943.7510823034957</v>
      </c>
      <c r="F8" s="31">
        <v>991.1277760423179</v>
      </c>
    </row>
    <row r="9" spans="1:6" x14ac:dyDescent="0.25">
      <c r="A9" s="30">
        <v>0.102425</v>
      </c>
      <c r="B9" s="31">
        <v>680.0322602068502</v>
      </c>
      <c r="C9" s="31">
        <v>699.8910930213375</v>
      </c>
      <c r="D9" s="31">
        <v>721.9431291207792</v>
      </c>
      <c r="E9" s="31">
        <v>746.6426046014732</v>
      </c>
      <c r="F9" s="31">
        <v>774.5784937417844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8831000000</v>
      </c>
      <c r="C5" s="18">
        <v>7940000000</v>
      </c>
      <c r="D5" s="18">
        <v>6585000000</v>
      </c>
      <c r="E5" s="18">
        <v>5429000000</v>
      </c>
      <c r="F5" s="8" t="s">
        <v>84</v>
      </c>
    </row>
    <row r="6" spans="1:6" x14ac:dyDescent="0.25">
      <c r="A6" t="s">
        <v>44</v>
      </c>
      <c r="B6" s="18">
        <v>4189000000</v>
      </c>
      <c r="C6" s="18">
        <v>3577000000</v>
      </c>
      <c r="D6" s="18">
        <v>2923000000</v>
      </c>
      <c r="E6" s="18">
        <v>2215000000</v>
      </c>
      <c r="F6" s="8" t="s">
        <v>85</v>
      </c>
    </row>
    <row r="7" spans="1:6" x14ac:dyDescent="0.25">
      <c r="A7" t="s">
        <v>86</v>
      </c>
      <c r="B7" s="18">
        <v>367000000</v>
      </c>
      <c r="C7" s="18">
        <v>312000000</v>
      </c>
      <c r="D7" s="18">
        <v>268000000</v>
      </c>
      <c r="E7" s="18">
        <v>253000000</v>
      </c>
      <c r="F7" s="8" t="s">
        <v>87</v>
      </c>
    </row>
    <row r="8" spans="1:6" x14ac:dyDescent="0.25">
      <c r="A8" t="s">
        <v>88</v>
      </c>
      <c r="B8" s="18">
        <v>222000000</v>
      </c>
      <c r="C8" s="18">
        <v>165000000</v>
      </c>
      <c r="D8" s="18">
        <v>139000000</v>
      </c>
      <c r="E8" s="18">
        <v>119000000</v>
      </c>
      <c r="F8" s="8" t="s">
        <v>89</v>
      </c>
    </row>
    <row r="9" spans="1:6" x14ac:dyDescent="0.25">
      <c r="A9" t="s">
        <v>90</v>
      </c>
      <c r="B9" s="18">
        <v>558000000</v>
      </c>
      <c r="C9" s="18">
        <v>302000000</v>
      </c>
      <c r="D9" s="18">
        <v>431000000</v>
      </c>
      <c r="E9" s="18">
        <v>291000000</v>
      </c>
      <c r="F9" s="8" t="s">
        <v>91</v>
      </c>
    </row>
    <row r="10" spans="1:6" x14ac:dyDescent="0.25">
      <c r="A10" t="s">
        <v>92</v>
      </c>
      <c r="B10" s="18">
        <v>30030000000</v>
      </c>
      <c r="C10" s="18">
        <v>24899000000</v>
      </c>
      <c r="D10" s="18">
        <v>19766000000</v>
      </c>
      <c r="E10" s="18">
        <v>19813000000</v>
      </c>
      <c r="F10" s="8" t="s">
        <v>93</v>
      </c>
    </row>
    <row r="11" spans="1:6" x14ac:dyDescent="0.25">
      <c r="A11" t="s">
        <v>94</v>
      </c>
      <c r="B11" s="18">
        <v>2808000000</v>
      </c>
      <c r="C11" s="18">
        <v>6261000000</v>
      </c>
      <c r="D11" s="18">
        <v>3472000000</v>
      </c>
      <c r="E11" s="18">
        <v>3001000000</v>
      </c>
      <c r="F11" s="8" t="s">
        <v>95</v>
      </c>
    </row>
    <row r="12" spans="1:6" x14ac:dyDescent="0.25">
      <c r="A12" t="s">
        <v>32</v>
      </c>
      <c r="B12" s="34">
        <v>58200000</v>
      </c>
      <c r="C12" s="34">
        <v>57800000</v>
      </c>
      <c r="D12" s="34">
        <v>57200000</v>
      </c>
      <c r="E12" s="34">
        <v>58200000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