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<sst xmlns="http://schemas.openxmlformats.org/spreadsheetml/2006/main" count="113" uniqueCount="101">
  <si>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Teledyne Technologies Incorporated (TDY)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</si>
  <si>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</si>
  <si>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</si>
  <si>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</si>
  <si>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</si>
  <si>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</si>
  <si>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</si>
  <si>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</si>
  <si>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</si>
  <si>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</si>
  <si>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</si>
  <si>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</si>
  <si>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</si>
  <si>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</si>
  <si>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</si>
  <si>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</si>
  <si>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</si>
  <si>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</si>
  <si>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</si>
  <si>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</si>
  <si>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</si>
  <si>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</si>
  <si>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</si>
  <si>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</si>
  <si>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</si>
  <si>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</si>
  <si>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</si>
  <si>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</si>
  <si>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</si>
  <si>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</si>
  <si>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</si>
  <si>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</si>
  <si>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</si>
  <si>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</si>
  <si>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</si>
  <si>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</si>
  <si>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</si>
  <si>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</si>
  <si>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</si>
  <si>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</si>
  <si>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</si>
  <si>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</si>
  <si>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</si>
  <si>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</si>
  <si>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</si>
  <si>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</si>
  <si>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</si>
  <si>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</si>
  <si>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</si>
  <si>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</si>
  <si>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</si>
  <si>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</si>
  <si>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</si>
  <si>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</si>
  <si>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</si>
  <si>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</si>
  <si>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</si>
  <si>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</si>
  <si>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</si>
  <si>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</si>
  <si>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</si>
  <si>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</si>
  <si>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</si>
  <si>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</si>
  <si>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</si>
  <si>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</si>
  <si>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</si>
  <si>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</si>
  <si>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</si>
  <si>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</si>
  <si>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</si>
  <si>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</si>
  <si>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</si>
  <si>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</si>
  <si>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</si>
  <si>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</si>
  <si>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</si>
  <si>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</si>
  <si>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</si>
  <si>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</si>
  <si>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</si>
  <si>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</si>
  <si>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</si>
  <si>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</si>
  <si>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</si>
  <si>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</si>
  <si>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</si>
  <si>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</si>
  <si>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</si>
  <si>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</si>
  <si>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</si>
  <si>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</si>
  <si>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</si>
  <si>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</si>
  <si>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</si>
  <si>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</si>
  <si>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</si>
  <si>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</si>
  <si>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1.78% of revenue against depreciation and amortisation of 5.67%. A business cannot depreciate more than it invests indefinitely. Capex has been set to 5.67%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</si>
  <si>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Current EV/EBITDA of 20.4x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</si>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</sst>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0.03859891847624208</v>
      </c>
    </row>
    <row r="7" spans="1:2" x14ac:dyDescent="0.25">
      <c r="A7" t="s">
        <v>5</v>
      </c>
      <c r="B7" s="6">
        <v>0.1833531153426296</v>
      </c>
    </row>
    <row r="8" spans="1:2" x14ac:dyDescent="0.25">
      <c r="A8" t="s">
        <v>6</v>
      </c>
      <c r="B8" s="6">
        <v>0.12811154690652476</v>
      </c>
    </row>
    <row r="9" spans="1:2" x14ac:dyDescent="0.25">
      <c r="A9" t="s">
        <v>7</v>
      </c>
      <c r="B9" s="6">
        <v>0.05666264530427495</v>
      </c>
    </row>
    <row r="10" spans="1:2" x14ac:dyDescent="0.25">
      <c r="A10" t="s">
        <v>8</v>
      </c>
      <c r="B10" s="6">
        <v>0.05666264530427495</v>
      </c>
    </row>
    <row r="11" spans="1:2" x14ac:dyDescent="0.25">
      <c r="A11" t="s">
        <v>9</v>
      </c>
      <c r="B11" s="6">
        <v>0.8376811594202899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0.09658339223016861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0.93836</v>
      </c>
      <c r="C19" s="8" t="s">
        <v>19</v>
      </c>
    </row>
    <row r="20" spans="1:2" x14ac:dyDescent="0.25">
      <c r="A20" t="s">
        <v>20</v>
      </c>
      <c r="B20" s="10">
        <f>B17+B19*B18</f>
        <v>0.10158980000000001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27973795840</v>
      </c>
    </row>
    <row r="23" spans="1:2" x14ac:dyDescent="0.25">
      <c r="A23" t="s">
        <v>24</v>
      </c>
      <c r="B23" s="11">
        <v>2642100000</v>
      </c>
    </row>
    <row r="24" spans="1:2" x14ac:dyDescent="0.25">
      <c r="A24" t="s">
        <v>25</v>
      </c>
      <c r="B24" s="10">
        <f>B22/(B22+B23)</f>
        <v>0.9137016922905759</v>
      </c>
    </row>
    <row r="25" spans="1:2" x14ac:dyDescent="0.25">
      <c r="A25" t="s">
        <v>26</v>
      </c>
      <c r="B25" s="10">
        <f>1-B24</f>
        <v>0.08629830770942415</v>
      </c>
    </row>
    <row r="26" spans="1:2" x14ac:dyDescent="0.25">
      <c r="A26" t="s">
        <v>27</v>
      </c>
      <c r="B26" s="12">
        <f>B24*B20+B25*B21*(1-B8)</f>
        <v>0.09658339223016861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6115400000</v>
      </c>
      <c r="C29" s="8" t="s">
        <v>30</v>
      </c>
    </row>
    <row r="30" spans="1:2" x14ac:dyDescent="0.25">
      <c r="A30" t="s">
        <v>31</v>
      </c>
      <c r="B30" s="11">
        <v>2289700000</v>
      </c>
    </row>
    <row r="31" spans="1:2" x14ac:dyDescent="0.25">
      <c r="A31" t="s">
        <v>32</v>
      </c>
      <c r="B31" s="13">
        <v>47400000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0.03859891847624208</v>
      </c>
      <c r="C5" s="10">
        <f>Assumptions!B6</f>
        <v>0.03859891847624208</v>
      </c>
      <c r="D5" s="10">
        <f>Assumptions!B6</f>
        <v>0.03859891847624208</v>
      </c>
      <c r="E5" s="10">
        <f>Assumptions!B6</f>
        <v>0.03859891847624208</v>
      </c>
      <c r="F5" s="10">
        <f>Assumptions!B6</f>
        <v>0.03859891847624208</v>
      </c>
    </row>
    <row r="6" spans="1:6" x14ac:dyDescent="0.25">
      <c r="A6" t="s">
        <v>43</v>
      </c>
      <c r="B6" s="18">
        <f>Assumptions!B29*(1+B5)</f>
        <v>6351447826.049611</v>
      </c>
      <c r="C6" s="18">
        <f>B6*(1+C5)</f>
        <v>6596606842.893405</v>
      </c>
      <c r="D6" s="18">
        <f>C6*(1+D5)</f>
        <v>6851228732.642068</v>
      </c>
      <c r="E6" s="18">
        <f>D6*(1+E5)</f>
        <v>7115678751.955406</v>
      </c>
      <c r="F6" s="18">
        <f>E6*(1+F5)</f>
        <v>7390336256.00526</v>
      </c>
    </row>
    <row r="7" spans="1:6" x14ac:dyDescent="0.25">
      <c r="A7" t="s">
        <v>5</v>
      </c>
      <c r="B7" s="10">
        <f>Assumptions!B7</f>
        <v>0.1833531153426296</v>
      </c>
      <c r="C7" s="10">
        <f>Assumptions!B7</f>
        <v>0.1833531153426296</v>
      </c>
      <c r="D7" s="10">
        <f>Assumptions!B7</f>
        <v>0.1833531153426296</v>
      </c>
      <c r="E7" s="10">
        <f>Assumptions!B7</f>
        <v>0.1833531153426296</v>
      </c>
      <c r="F7" s="10">
        <f>Assumptions!B7</f>
        <v>0.1833531153426296</v>
      </c>
    </row>
    <row r="8" spans="1:6" x14ac:dyDescent="0.25">
      <c r="A8" t="s">
        <v>44</v>
      </c>
      <c r="B8" s="18">
        <f>B6*B7</f>
        <v>1164557745.8423684</v>
      </c>
      <c r="C8" s="18">
        <f>C6*C7</f>
        <v>1209508415.335014</v>
      </c>
      <c r="D8" s="18">
        <f>D6*D7</f>
        <v>1256194132.0548592</v>
      </c>
      <c r="E8" s="18">
        <f>E6*E7</f>
        <v>1304681866.9483783</v>
      </c>
      <c r="F8" s="18">
        <f>F6*F7</f>
        <v>1355041175.96815</v>
      </c>
    </row>
    <row r="9" spans="1:6" x14ac:dyDescent="0.25">
      <c r="A9" t="s">
        <v>45</v>
      </c>
      <c r="B9" s="18">
        <f>B8*(1-Assumptions!B8)</f>
        <v>1015364451.560527</v>
      </c>
      <c r="C9" s="18">
        <f>C8*(1-Assumptions!B8)</f>
        <v>1054556421.2499859</v>
      </c>
      <c r="D9" s="18">
        <f>D8*(1-Assumptions!B8)</f>
        <v>1095261158.5824118</v>
      </c>
      <c r="E9" s="18">
        <f>E8*(1-Assumptions!B8)</f>
        <v>1137537054.7527287</v>
      </c>
      <c r="F9" s="18">
        <f>F8*(1-Assumptions!B8)</f>
        <v>1181444754.7928338</v>
      </c>
    </row>
    <row r="10" spans="1:6" x14ac:dyDescent="0.25">
      <c r="A10" t="s">
        <v>46</v>
      </c>
      <c r="B10" s="18">
        <f>B6*Assumptions!B9</f>
        <v>359889835.33605736</v>
      </c>
      <c r="C10" s="18">
        <f>C6*Assumptions!B9</f>
        <v>373781193.750622</v>
      </c>
      <c r="D10" s="18">
        <f>D6*Assumptions!B9</f>
        <v>388208743.5761547</v>
      </c>
      <c r="E10" s="18">
        <f>E6*Assumptions!B9</f>
        <v>403193181.221215</v>
      </c>
      <c r="F10" s="18">
        <f>F6*Assumptions!B9</f>
        <v>418756001.9533494</v>
      </c>
    </row>
    <row r="11" spans="1:6" x14ac:dyDescent="0.25">
      <c r="A11" t="s">
        <v>47</v>
      </c>
      <c r="B11" s="18">
        <f>-B6*Assumptions!B10</f>
        <v>-359889835.33605736</v>
      </c>
      <c r="C11" s="18">
        <f>-C6*Assumptions!B10</f>
        <v>-373781193.750622</v>
      </c>
      <c r="D11" s="18">
        <f>-D6*Assumptions!B10</f>
        <v>-388208743.5761547</v>
      </c>
      <c r="E11" s="18">
        <f>-E6*Assumptions!B10</f>
        <v>-403193181.221215</v>
      </c>
      <c r="F11" s="18">
        <f>-F6*Assumptions!B10</f>
        <v>-418756001.9533494</v>
      </c>
    </row>
    <row r="12" spans="1:6" x14ac:dyDescent="0.25">
      <c r="A12" t="s">
        <v>48</v>
      </c>
      <c r="B12" s="18">
        <f>-(B6-Assumptions!B29)*Assumptions!B11</f>
        <v>-197732816.60387713</v>
      </c>
      <c r="C12" s="18">
        <f>-(C6-B6)*Assumptions!B11</f>
        <v>-205365089.47204763</v>
      </c>
      <c r="D12" s="18">
        <f>-(D6-C6)*Assumptions!B11</f>
        <v>-213291959.8184452</v>
      </c>
      <c r="E12" s="18">
        <f>-(E6-D6)*Assumptions!B11</f>
        <v>-221524798.78711525</v>
      </c>
      <c r="F12" s="18">
        <f>-(F6-E6)*Assumptions!B11</f>
        <v>-230075416.43596488</v>
      </c>
    </row>
    <row r="13" spans="1:6" x14ac:dyDescent="0.25">
      <c r="A13" s="19" t="s">
        <v>49</v>
      </c>
      <c r="B13" s="20">
        <f>B9+B10+B11+B12</f>
        <v>817631634.9566498</v>
      </c>
      <c r="C13" s="20">
        <f>C9+C10+C11+C12</f>
        <v>849191331.7779384</v>
      </c>
      <c r="D13" s="20">
        <f>D9+D10+D11+D12</f>
        <v>881969198.7639666</v>
      </c>
      <c r="E13" s="20">
        <f>E9+E10+E11+E12</f>
        <v>916012255.9656135</v>
      </c>
      <c r="F13" s="20">
        <f>F9+F10+F11+F12</f>
        <v>951369338.356869</v>
      </c>
    </row>
    <row r="14" spans="1:6" x14ac:dyDescent="0.25">
      <c r="A14" t="s">
        <v>50</v>
      </c>
      <c r="B14" s="21">
        <f>1/(1+Assumptions!$B$26)^(1-0.5*Assumptions!$B$32)</f>
        <v>0.9549467783367163</v>
      </c>
      <c r="C14" s="21">
        <f>1/(1+Assumptions!$B$26)^(2-0.5*Assumptions!$B$32)</f>
        <v>0.8708382646527228</v>
      </c>
      <c r="D14" s="21">
        <f>1/(1+Assumptions!$B$26)^(3-0.5*Assumptions!$B$32)</f>
        <v>0.7941377471362774</v>
      </c>
      <c r="E14" s="21">
        <f>1/(1+Assumptions!$B$26)^(4-0.5*Assumptions!$B$32)</f>
        <v>0.7241927542976968</v>
      </c>
      <c r="F14" s="21">
        <f>1/(1+Assumptions!$B$26)^(5-0.5*Assumptions!$B$32)</f>
        <v>0.6604082821506853</v>
      </c>
    </row>
    <row r="15" spans="1:6" x14ac:dyDescent="0.25">
      <c r="A15" s="19" t="s">
        <v>51</v>
      </c>
      <c r="B15" s="20">
        <f>B13*B14</f>
        <v>780794695.6680348</v>
      </c>
      <c r="C15" s="20">
        <f>C13*C14</f>
        <v>739508305.7236345</v>
      </c>
      <c r="D15" s="20">
        <f>D13*D14</f>
        <v>700405032.550004</v>
      </c>
      <c r="E15" s="20">
        <f>E13*E14</f>
        <v>663369438.6181844</v>
      </c>
      <c r="F15" s="20">
        <f>F13*F14</f>
        <v>628292190.4350939</v>
      </c>
    </row>
    <row r="17" spans="1:2" x14ac:dyDescent="0.25">
      <c r="A17" s="22" t="s">
        <v>52</v>
      </c>
      <c r="B17" s="23">
        <f>SUM(B15:F15)</f>
        <v>3512369662.9949517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951369338.356869</v>
      </c>
    </row>
    <row r="5" spans="1:2" x14ac:dyDescent="0.25">
      <c r="A5" t="s">
        <v>56</v>
      </c>
      <c r="B5" s="18">
        <f>IF(Assumptions!$B$33=0,B4,B4-Forecast!F11-Forecast!F10-Forecast!F12)</f>
        <v>1181444754.7928338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0.25884367304497147</v>
      </c>
    </row>
    <row r="7" spans="1:2" x14ac:dyDescent="0.25">
      <c r="A7" t="s">
        <v>58</v>
      </c>
      <c r="B7" s="18">
        <f>-MAX(Forecast!F9,0)*B6</f>
        <v>-305809499.83029276</v>
      </c>
    </row>
    <row r="8" spans="1:2" x14ac:dyDescent="0.25">
      <c r="A8" t="s">
        <v>59</v>
      </c>
      <c r="B8" s="18">
        <f>IF(OR(Assumptions!$B$33=0,Assumptions!B12&lt;=0),B5,MAX(B5+B7,0))</f>
        <v>875635254.9625411</v>
      </c>
    </row>
    <row r="9" spans="1:2" x14ac:dyDescent="0.25">
      <c r="A9" t="s">
        <v>60</v>
      </c>
      <c r="B9" s="18">
        <f>B8*(1+Assumptions!B12)/(Assumptions!B26-Assumptions!B12)</f>
        <v>12538189493.042004</v>
      </c>
    </row>
    <row r="10" spans="1:2" x14ac:dyDescent="0.25">
      <c r="A10" t="s">
        <v>61</v>
      </c>
      <c r="B10" s="18">
        <f>B9/(1+Assumptions!B26)^(5-0.5*Assumptions!B32)</f>
        <v>8280324184.379641</v>
      </c>
    </row>
    <row r="11" spans="1:2" x14ac:dyDescent="0.25">
      <c r="A11" t="s">
        <v>62</v>
      </c>
      <c r="B11" s="18">
        <f>Forecast!B17+B10</f>
        <v>11792693847.374592</v>
      </c>
    </row>
    <row r="12" spans="1:2" x14ac:dyDescent="0.25">
      <c r="A12" t="s">
        <v>63</v>
      </c>
      <c r="B12" s="18">
        <f>-Assumptions!B30</f>
        <v>-2289700000</v>
      </c>
    </row>
    <row r="13" spans="1:2" x14ac:dyDescent="0.25">
      <c r="A13" t="s">
        <v>64</v>
      </c>
      <c r="B13" s="18">
        <f>B11+B12</f>
        <v>9502993847.374592</v>
      </c>
    </row>
    <row r="14" spans="1:2" x14ac:dyDescent="0.25">
      <c r="A14" s="19" t="s">
        <v>65</v>
      </c>
      <c r="B14" s="24">
        <f>B13/Assumptions!B31</f>
        <v>200.48510226528674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1773797177.9214993</v>
      </c>
    </row>
    <row r="18" spans="1:2" x14ac:dyDescent="0.25">
      <c r="A18" t="s">
        <v>60</v>
      </c>
      <c r="B18" s="18">
        <f>B17*Assumptions!B13</f>
        <v>35475943558.429985</v>
      </c>
    </row>
    <row r="19" spans="1:2" x14ac:dyDescent="0.25">
      <c r="A19" t="s">
        <v>61</v>
      </c>
      <c r="B19" s="18">
        <f>B18/(1+Assumptions!B26)^(5-0.5*Assumptions!B32)</f>
        <v>23428606943.097416</v>
      </c>
    </row>
    <row r="20" spans="1:2" x14ac:dyDescent="0.25">
      <c r="A20" t="s">
        <v>62</v>
      </c>
      <c r="B20" s="18">
        <f>Forecast!B17+B19</f>
        <v>26940976606.09237</v>
      </c>
    </row>
    <row r="21" spans="1:2" x14ac:dyDescent="0.25">
      <c r="A21" t="s">
        <v>63</v>
      </c>
      <c r="B21" s="18">
        <f>-Assumptions!B30</f>
        <v>-2289700000</v>
      </c>
    </row>
    <row r="22" spans="1:2" x14ac:dyDescent="0.25">
      <c r="A22" t="s">
        <v>64</v>
      </c>
      <c r="B22" s="18">
        <f>B20+B21</f>
        <v>24651276606.09237</v>
      </c>
    </row>
    <row r="23" spans="1:2" x14ac:dyDescent="0.25">
      <c r="A23" s="19" t="s">
        <v>65</v>
      </c>
      <c r="B23" s="25">
        <f>B22/Assumptions!B31</f>
        <v>520.0691267108094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603.46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200.48510226528674</v>
      </c>
    </row>
    <row r="29" spans="1:2" x14ac:dyDescent="0.25">
      <c r="A29" s="19" t="s">
        <v>73</v>
      </c>
      <c r="B29" s="12">
        <f>B28/B26-1</f>
        <v>-0.6677739994941061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0.076583</v>
      </c>
      <c r="B5" s="31">
        <v>266.15927709051897</v>
      </c>
      <c r="C5" s="31">
        <v>267.32678243255896</v>
      </c>
      <c r="D5" s="31">
        <v>268.49428777459883</v>
      </c>
      <c r="E5" s="31">
        <v>269.6617931166389</v>
      </c>
      <c r="F5" s="31">
        <v>270.82929845867886</v>
      </c>
    </row>
    <row r="6" spans="1:6" x14ac:dyDescent="0.25">
      <c r="A6" s="30">
        <v>0.086583</v>
      </c>
      <c r="B6" s="31">
        <v>228.53012817077882</v>
      </c>
      <c r="C6" s="31">
        <v>229.5207077583363</v>
      </c>
      <c r="D6" s="31">
        <v>230.51128734589372</v>
      </c>
      <c r="E6" s="31">
        <v>231.50186693345123</v>
      </c>
      <c r="F6" s="31">
        <v>232.49244652100865</v>
      </c>
    </row>
    <row r="7" spans="1:6" x14ac:dyDescent="0.25">
      <c r="A7" s="30">
        <v>0.096583</v>
      </c>
      <c r="B7" s="31">
        <v>198.78185016918252</v>
      </c>
      <c r="C7" s="31">
        <v>199.63400321428202</v>
      </c>
      <c r="D7" s="32">
        <v>200.4861562593815</v>
      </c>
      <c r="E7" s="31">
        <v>201.338309304481</v>
      </c>
      <c r="F7" s="31">
        <v>202.19046234958046</v>
      </c>
    </row>
    <row r="8" spans="1:6" x14ac:dyDescent="0.25">
      <c r="A8" s="30">
        <v>0.106583</v>
      </c>
      <c r="B8" s="31">
        <v>174.69159138851975</v>
      </c>
      <c r="C8" s="31">
        <v>175.43288314030096</v>
      </c>
      <c r="D8" s="31">
        <v>176.17417489208216</v>
      </c>
      <c r="E8" s="31">
        <v>176.9154666438634</v>
      </c>
      <c r="F8" s="31">
        <v>177.6567583956446</v>
      </c>
    </row>
    <row r="9" spans="1:6" x14ac:dyDescent="0.25">
      <c r="A9" s="30">
        <v>0.116583</v>
      </c>
      <c r="B9" s="31">
        <v>154.79944178037414</v>
      </c>
      <c r="C9" s="31">
        <v>155.45026090000928</v>
      </c>
      <c r="D9" s="31">
        <v>156.1010800196444</v>
      </c>
      <c r="E9" s="31">
        <v>156.75189913927954</v>
      </c>
      <c r="F9" s="31">
        <v>157.40271825891466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6115400000</v>
      </c>
      <c r="C5" s="18">
        <v>5670000000</v>
      </c>
      <c r="D5" s="18">
        <v>5635500000</v>
      </c>
      <c r="E5" s="18">
        <v>5458600000</v>
      </c>
      <c r="F5" s="8" t="s">
        <v>84</v>
      </c>
    </row>
    <row r="6" spans="1:6" x14ac:dyDescent="0.25">
      <c r="A6" t="s">
        <v>44</v>
      </c>
      <c r="B6" s="18">
        <v>1149800000</v>
      </c>
      <c r="C6" s="18">
        <v>1041600000</v>
      </c>
      <c r="D6" s="18">
        <v>1034400000</v>
      </c>
      <c r="E6" s="18">
        <v>972400000</v>
      </c>
      <c r="F6" s="8" t="s">
        <v>85</v>
      </c>
    </row>
    <row r="7" spans="1:6" x14ac:dyDescent="0.25">
      <c r="A7" t="s">
        <v>86</v>
      </c>
      <c r="B7" s="18">
        <v>336300000</v>
      </c>
      <c r="C7" s="18">
        <v>309900000</v>
      </c>
      <c r="D7" s="18">
        <v>316400000</v>
      </c>
      <c r="E7" s="18">
        <v>332200000</v>
      </c>
      <c r="F7" s="8" t="s">
        <v>87</v>
      </c>
    </row>
    <row r="8" spans="1:6" x14ac:dyDescent="0.25">
      <c r="A8" t="s">
        <v>88</v>
      </c>
      <c r="B8" s="18">
        <v>117300000</v>
      </c>
      <c r="C8" s="18">
        <v>83700000</v>
      </c>
      <c r="D8" s="18">
        <v>114900000</v>
      </c>
      <c r="E8" s="18">
        <v>92600000</v>
      </c>
      <c r="F8" s="8" t="s">
        <v>89</v>
      </c>
    </row>
    <row r="9" spans="1:6" x14ac:dyDescent="0.25">
      <c r="A9" t="s">
        <v>90</v>
      </c>
      <c r="B9" s="18">
        <v>65300000</v>
      </c>
      <c r="C9" s="18">
        <v>28900000</v>
      </c>
      <c r="D9" s="18">
        <v>397600000</v>
      </c>
      <c r="E9" s="18">
        <v>655600000</v>
      </c>
      <c r="F9" s="8" t="s">
        <v>91</v>
      </c>
    </row>
    <row r="10" spans="1:6" x14ac:dyDescent="0.25">
      <c r="A10" t="s">
        <v>92</v>
      </c>
      <c r="B10" s="18">
        <v>2642100000</v>
      </c>
      <c r="C10" s="18">
        <v>2788800000</v>
      </c>
      <c r="D10" s="18">
        <v>3244900000</v>
      </c>
      <c r="E10" s="18">
        <v>3920600000</v>
      </c>
      <c r="F10" s="8" t="s">
        <v>93</v>
      </c>
    </row>
    <row r="11" spans="1:6" x14ac:dyDescent="0.25">
      <c r="A11" t="s">
        <v>94</v>
      </c>
      <c r="B11" s="18">
        <v>352400000</v>
      </c>
      <c r="C11" s="18">
        <v>649800000</v>
      </c>
      <c r="D11" s="18">
        <v>648300000</v>
      </c>
      <c r="E11" s="18">
        <v>638100000</v>
      </c>
      <c r="F11" s="8" t="s">
        <v>95</v>
      </c>
    </row>
    <row r="12" spans="1:6" x14ac:dyDescent="0.25">
      <c r="A12" t="s">
        <v>32</v>
      </c>
      <c r="B12" s="34">
        <v>47400000</v>
      </c>
      <c r="C12" s="34">
        <v>47600000</v>
      </c>
      <c r="D12" s="34">
        <v>47900000</v>
      </c>
      <c r="E12" s="34">
        <v>47700000</v>
      </c>
      <c r="F12" s="8" t="s">
        <v>96</v>
      </c>
    </row>
    <row r="15" spans="1:1" x14ac:dyDescent="0.25">
      <c r="A15" s="19" t="s">
        <v>97</v>
      </c>
    </row>
    <row r="16" ht="70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2026-09-19T01:06:05Z</dcterms:modified>
</cp:coreProperties>
</file>