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<sst xmlns="http://schemas.openxmlformats.org/spreadsheetml/2006/main" count="121" uniqueCount="108">
  <si>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Teledyne Technologies Incorporated (TDY)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</si>
  <si>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</si>
  <si>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</si>
  <si>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</si>
  <si>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</si>
  <si>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</si>
  <si>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</si>
  <si>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</si>
  <si>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</si>
  <si>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</si>
  <si>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</si>
  <si>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</si>
  <si>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</si>
  <si>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</si>
  <si>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</si>
  <si>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</si>
  <si>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</si>
  <si>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</si>
  <si>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</si>
  <si>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</si>
  <si>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</si>
  <si>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</si>
  <si>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</si>
  <si>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</si>
  <si>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19.3x interest cover. Book interest / average debt was lower, at 2.2%.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</si>
  <si>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</si>
  <si>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</si>
  <si>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</si>
  <si>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</si>
  <si>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</si>
  <si>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</si>
  <si>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</si>
  <si>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</si>
  <si>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</si>
  <si>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</si>
  <si>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</si>
  <si>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</si>
  <si>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</si>
  <si>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</si>
  <si>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</si>
  <si>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</si>
  <si>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</si>
  <si>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</si>
  <si>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</si>
  <si>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</si>
  <si>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</si>
  <si>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</si>
  <si>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</si>
  <si>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</si>
  <si>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</si>
  <si>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</si>
  <si>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</si>
  <si>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</si>
  <si>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</si>
  <si>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</si>
  <si>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</si>
  <si>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</si>
  <si>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</si>
  <si>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</si>
  <si>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</si>
  <si>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</si>
  <si>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</si>
  <si>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</si>
  <si>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</si>
  <si>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</si>
  <si>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</si>
  <si>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</si>
  <si>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</si>
  <si>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</si>
  <si>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</si>
  <si>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</si>
  <si>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</si>
  <si>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</si>
  <si>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</si>
  <si>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</si>
  <si>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</si>
  <si>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</si>
  <si>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</si>
  <si>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</si>
  <si>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</si>
  <si>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</si>
  <si>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</si>
  <si>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</si>
  <si>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</si>
  <si>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</si>
  <si>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</si>
  <si>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</si>
  <si>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</si>
  <si>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</si>
  <si>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</si>
  <si>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</si>
  <si>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</si>
  <si>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</si>
  <si>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</si>
  <si>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</si>
  <si>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</si>
  <si>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</si>
  <si>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</si>
  <si>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</si>
  <si>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</si>
  <si>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</si>
  <si>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</si>
  <si>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</si>
  <si>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</si>
  <si>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</si>
  <si>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1.78% of revenue against depreciation and amortisation of 5.67%. A business cannot depreciate more than it invests indefinitely. Capex has been set to 5.67%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</si>
  <si>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22.1x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</si>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</sst>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0.08438805474703215</v>
      </c>
    </row>
    <row r="7" spans="1:2" x14ac:dyDescent="0.25">
      <c r="A7" t="s">
        <v>4</v>
      </c>
      <c r="B7" s="5">
        <v>0.1833531153426296</v>
      </c>
    </row>
    <row r="8" spans="1:2" x14ac:dyDescent="0.25">
      <c r="A8" t="s">
        <v>5</v>
      </c>
      <c r="B8" s="5">
        <v>0.12811154690652476</v>
      </c>
    </row>
    <row r="9" spans="1:2" x14ac:dyDescent="0.25">
      <c r="A9" t="s">
        <v>6</v>
      </c>
      <c r="B9" s="5">
        <v>0.05666264530427495</v>
      </c>
    </row>
    <row r="10" spans="1:3" x14ac:dyDescent="0.25">
      <c r="A10" t="s">
        <v>7</v>
      </c>
      <c r="B10" s="5">
        <v>0.05666264530427495</v>
      </c>
      <c r="C10" s="6" t="s">
        <v>8</v>
      </c>
    </row>
    <row r="11" spans="1:2" x14ac:dyDescent="0.25">
      <c r="A11" t="s">
        <v>9</v>
      </c>
      <c r="B11" s="5">
        <v>0.2500330812562773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0.08490874131869985</v>
      </c>
      <c r="C14" s="6" t="s">
        <v>13</v>
      </c>
    </row>
    <row r="15" spans="1:3" x14ac:dyDescent="0.25">
      <c r="A15" t="s">
        <v>14</v>
      </c>
      <c r="B15" s="5">
        <v>0.05666264530427495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0.92965</v>
      </c>
      <c r="C19" s="6" t="s">
        <v>21</v>
      </c>
    </row>
    <row r="20" spans="1:2" x14ac:dyDescent="0.25">
      <c r="A20" t="s">
        <v>22</v>
      </c>
      <c r="B20" s="9">
        <f>B17+B19*B18</f>
        <v>0.088264195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30512693248</v>
      </c>
    </row>
    <row r="23" spans="1:2" x14ac:dyDescent="0.25">
      <c r="A23" t="s">
        <v>26</v>
      </c>
      <c r="B23" s="10">
        <v>2642100000</v>
      </c>
    </row>
    <row r="24" spans="1:2" x14ac:dyDescent="0.25">
      <c r="A24" t="s">
        <v>27</v>
      </c>
      <c r="B24" s="9">
        <f>B22/(B22+B23)</f>
        <v>0.920310165102315</v>
      </c>
    </row>
    <row r="25" spans="1:2" x14ac:dyDescent="0.25">
      <c r="A25" t="s">
        <v>28</v>
      </c>
      <c r="B25" s="9">
        <f>1-B24</f>
        <v>0.079689834897685</v>
      </c>
    </row>
    <row r="26" spans="1:2" x14ac:dyDescent="0.25">
      <c r="A26" t="s">
        <v>29</v>
      </c>
      <c r="B26" s="11">
        <f>B24*B20+B25*B21*(1-B8)</f>
        <v>0.08490874131869985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6115400000</v>
      </c>
      <c r="C29" s="6" t="s">
        <v>32</v>
      </c>
    </row>
    <row r="30" spans="1:2" x14ac:dyDescent="0.25">
      <c r="A30" t="s">
        <v>33</v>
      </c>
      <c r="B30" s="10">
        <v>2289700000</v>
      </c>
    </row>
    <row r="31" spans="1:2" x14ac:dyDescent="0.25">
      <c r="A31" t="s">
        <v>34</v>
      </c>
      <c r="B31" s="12">
        <v>47400000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0.08438805474703215</v>
      </c>
      <c r="C5" s="5">
        <v>0.058946544873780926</v>
      </c>
      <c r="D5" s="5">
        <v>0.05470322676455831</v>
      </c>
      <c r="E5" s="5">
        <v>0.05045990865533569</v>
      </c>
      <c r="F5" s="5">
        <v>0.04621659054611308</v>
      </c>
      <c r="G5" s="5">
        <v>0.04197327243689046</v>
      </c>
      <c r="H5" s="5">
        <v>0.03772995432766785</v>
      </c>
      <c r="I5" s="5">
        <v>0.033486636218445234</v>
      </c>
      <c r="J5" s="5">
        <v>0.029243318109222618</v>
      </c>
      <c r="K5" s="5">
        <v>0.025</v>
      </c>
    </row>
    <row r="6" spans="1:11" x14ac:dyDescent="0.25">
      <c r="A6" t="s">
        <v>50</v>
      </c>
      <c r="B6" s="18">
        <f>Assumptions!B29*(1+B5)</f>
        <v>6631466710</v>
      </c>
      <c r="C6" s="18">
        <f>B6*(1+C5)</f>
        <v>7022368759.999999</v>
      </c>
      <c r="D6" s="18">
        <f>C6*(1+D5)</f>
        <v>7406514990.70263</v>
      </c>
      <c r="E6" s="18">
        <f>D6*(1+E5)</f>
        <v>7780247060.587859</v>
      </c>
      <c r="F6" s="18">
        <f>E6*(1+F5)</f>
        <v>8139823553.334649</v>
      </c>
      <c r="G6" s="18">
        <f>F6*(1+G5)</f>
        <v>8481478584.926982</v>
      </c>
      <c r="H6" s="18">
        <f>G6*(1+H5)</f>
        <v>8801484384.56737</v>
      </c>
      <c r="I6" s="18">
        <f>H6*(1+I5)</f>
        <v>9096216490.335703</v>
      </c>
      <c r="J6" s="18">
        <f>I6*(1+J5)</f>
        <v>9362220042.752947</v>
      </c>
      <c r="K6" s="18">
        <f>J6*(1+K5)</f>
        <v>9596275543.82177</v>
      </c>
    </row>
    <row r="7" spans="1:11" x14ac:dyDescent="0.25">
      <c r="A7" t="s">
        <v>4</v>
      </c>
      <c r="B7" s="9">
        <f>Assumptions!B7</f>
        <v>0.1833531153426296</v>
      </c>
      <c r="C7" s="9">
        <f>Assumptions!B7</f>
        <v>0.1833531153426296</v>
      </c>
      <c r="D7" s="9">
        <f>Assumptions!B7</f>
        <v>0.1833531153426296</v>
      </c>
      <c r="E7" s="9">
        <f>Assumptions!B7</f>
        <v>0.1833531153426296</v>
      </c>
      <c r="F7" s="9">
        <f>Assumptions!B7</f>
        <v>0.1833531153426296</v>
      </c>
      <c r="G7" s="9">
        <f>Assumptions!B7</f>
        <v>0.1833531153426296</v>
      </c>
      <c r="H7" s="9">
        <f>Assumptions!B7</f>
        <v>0.1833531153426296</v>
      </c>
      <c r="I7" s="9">
        <f>Assumptions!B7</f>
        <v>0.1833531153426296</v>
      </c>
      <c r="J7" s="9">
        <f>Assumptions!B7</f>
        <v>0.1833531153426296</v>
      </c>
      <c r="K7" s="9">
        <f>Assumptions!B7</f>
        <v>0.1833531153426296</v>
      </c>
    </row>
    <row r="8" spans="1:11" x14ac:dyDescent="0.25">
      <c r="A8" t="s">
        <v>51</v>
      </c>
      <c r="B8" s="18">
        <f>B6*B7</f>
        <v>1215900080.5694385</v>
      </c>
      <c r="C8" s="18">
        <f>C6*C7</f>
        <v>1287573189.2307587</v>
      </c>
      <c r="D8" s="18">
        <f>D6*D7</f>
        <v>1358007597.3772144</v>
      </c>
      <c r="E8" s="18">
        <f>E6*E7</f>
        <v>1426532536.6941206</v>
      </c>
      <c r="F8" s="18">
        <f>F6*F7</f>
        <v>1492462006.843221</v>
      </c>
      <c r="G8" s="18">
        <f>G6*G7</f>
        <v>1555105521.2581599</v>
      </c>
      <c r="H8" s="18">
        <f>H6*H7</f>
        <v>1613779581.5499341</v>
      </c>
      <c r="I8" s="18">
        <f>I6*I7</f>
        <v>1667819631.3340516</v>
      </c>
      <c r="J8" s="18">
        <f>J6*J7</f>
        <v>1716592211.3619597</v>
      </c>
      <c r="K8" s="18">
        <f>K6*K7</f>
        <v>1759507016.6460085</v>
      </c>
    </row>
    <row r="9" spans="1:11" x14ac:dyDescent="0.25">
      <c r="A9" t="s">
        <v>52</v>
      </c>
      <c r="B9" s="18">
        <f>B8*(1-Assumptions!B8)</f>
        <v>1060129240.3639195</v>
      </c>
      <c r="C9" s="18">
        <f>C8*(1-Assumptions!B8)</f>
        <v>1122620196.2030385</v>
      </c>
      <c r="D9" s="18">
        <f>D8*(1-Assumptions!B8)</f>
        <v>1184031143.3664064</v>
      </c>
      <c r="E9" s="18">
        <f>E8*(1-Assumptions!B8)</f>
        <v>1243777246.705748</v>
      </c>
      <c r="F9" s="18">
        <f>F8*(1-Assumptions!B8)</f>
        <v>1301260390.4473195</v>
      </c>
      <c r="G9" s="18">
        <f>G8*(1-Assumptions!B8)</f>
        <v>1355878547.3268993</v>
      </c>
      <c r="H9" s="18">
        <f>H8*(1-Assumptions!B8)</f>
        <v>1407035782.9914079</v>
      </c>
      <c r="I9" s="18">
        <f>I8*(1-Assumptions!B8)</f>
        <v>1454152678.4027762</v>
      </c>
      <c r="J9" s="18">
        <f>J8*(1-Assumptions!B8)</f>
        <v>1496676927.756687</v>
      </c>
      <c r="K9" s="18">
        <f>K8*(1-Assumptions!B8)</f>
        <v>1534093850.9506037</v>
      </c>
    </row>
    <row r="10" spans="1:11" x14ac:dyDescent="0.25">
      <c r="A10" t="s">
        <v>53</v>
      </c>
      <c r="B10" s="18">
        <f>B6*Assumptions!B9</f>
        <v>375756446.0358372</v>
      </c>
      <c r="C10" s="18">
        <f>C6*Assumptions!B9</f>
        <v>397905990.24370104</v>
      </c>
      <c r="D10" s="18">
        <f>D6*Assumptions!B9</f>
        <v>419672731.8589784</v>
      </c>
      <c r="E10" s="18">
        <f>E6*Assumptions!B9</f>
        <v>440849379.57371765</v>
      </c>
      <c r="F10" s="18">
        <f>F6*Assumptions!B9</f>
        <v>461223934.8419842</v>
      </c>
      <c r="G10" s="18">
        <f>G6*Assumptions!B9</f>
        <v>480583012.7135214</v>
      </c>
      <c r="H10" s="18">
        <f>H6*Assumptions!B9</f>
        <v>498715387.83385557</v>
      </c>
      <c r="I10" s="18">
        <f>I6*Assumptions!B9</f>
        <v>515415688.6027887</v>
      </c>
      <c r="J10" s="18">
        <f>J6*Assumptions!B9</f>
        <v>530488153.5430841</v>
      </c>
      <c r="K10" s="18">
        <f>K6*Assumptions!B9</f>
        <v>543750357.3816612</v>
      </c>
    </row>
    <row r="11" spans="1:11" x14ac:dyDescent="0.25">
      <c r="A11" t="s">
        <v>54</v>
      </c>
      <c r="B11" s="18">
        <f>-B6*B19</f>
        <v>-375756446.0358372</v>
      </c>
      <c r="C11" s="18">
        <f>-C6*C19</f>
        <v>-434632355.3442346</v>
      </c>
      <c r="D11" s="18">
        <f>-D6*D19</f>
        <v>-497143563.4167104</v>
      </c>
      <c r="E11" s="18">
        <f>-E6*E19</f>
        <v>-562919383.5360997</v>
      </c>
      <c r="F11" s="18">
        <f>-F6*F19</f>
        <v>-631506152.646616</v>
      </c>
      <c r="G11" s="18">
        <f>-G6*G19</f>
        <v>-702369912.368151</v>
      </c>
      <c r="H11" s="18">
        <f>-H6*H19</f>
        <v>-774901278.932744</v>
      </c>
      <c r="I11" s="18">
        <f>-I6*I19</f>
        <v>-848422520.75937</v>
      </c>
      <c r="J11" s="18">
        <f>-J6*J19</f>
        <v>-922196789.9795194</v>
      </c>
      <c r="K11" s="18">
        <f>-K6*K19</f>
        <v>-995439378.7724255</v>
      </c>
    </row>
    <row r="12" spans="1:11" x14ac:dyDescent="0.25">
      <c r="A12" t="s">
        <v>55</v>
      </c>
      <c r="B12" s="18">
        <f>-(B6-Assumptions!B29)*Assumptions!B11</f>
        <v>-129033749.63508971</v>
      </c>
      <c r="C12" s="18">
        <f>-(C6-B6)*Assumptions!B11</f>
        <v>-97738444.03089514</v>
      </c>
      <c r="D12" s="18">
        <f>-(D6-C6)*Assumptions!B11</f>
        <v>-96049265.7155636</v>
      </c>
      <c r="E12" s="18">
        <f>-(E6-D6)*Assumptions!B11</f>
        <v>-93445380.9976902</v>
      </c>
      <c r="F12" s="18">
        <f>-(F6-E6)*Assumptions!B11</f>
        <v>-89906018.42880534</v>
      </c>
      <c r="G12" s="18">
        <f>-(G6-F6)*Assumptions!B11</f>
        <v>-85425060.27574176</v>
      </c>
      <c r="H12" s="18">
        <f>-(H6-G6)*Assumptions!B11</f>
        <v>-80012036.10396501</v>
      </c>
      <c r="I12" s="18">
        <f>-(I6-H6)*Assumptions!B11</f>
        <v>-73692776.55040744</v>
      </c>
      <c r="J12" s="18">
        <f>-(J6-I6)*Assumptions!B11</f>
        <v>-66509687.83599918</v>
      </c>
      <c r="K12" s="18">
        <f>-(K6-J6)*Assumptions!B11</f>
        <v>-58521618.11721969</v>
      </c>
    </row>
    <row r="13" spans="1:11" x14ac:dyDescent="0.25">
      <c r="A13" s="19" t="s">
        <v>56</v>
      </c>
      <c r="B13" s="20">
        <f>B9+B10+B11+B12</f>
        <v>931095490.7288297</v>
      </c>
      <c r="C13" s="20">
        <f>C9+C10+C11+C12</f>
        <v>988155387.0716096</v>
      </c>
      <c r="D13" s="20">
        <f>D9+D10+D11+D12</f>
        <v>1010511046.0931108</v>
      </c>
      <c r="E13" s="20">
        <f>E9+E10+E11+E12</f>
        <v>1028261861.7456758</v>
      </c>
      <c r="F13" s="20">
        <f>F9+F10+F11+F12</f>
        <v>1041072154.2138824</v>
      </c>
      <c r="G13" s="20">
        <f>G9+G10+G11+G12</f>
        <v>1048666587.396528</v>
      </c>
      <c r="H13" s="20">
        <f>H9+H10+H11+H12</f>
        <v>1050837855.7885544</v>
      </c>
      <c r="I13" s="20">
        <f>I9+I10+I11+I12</f>
        <v>1047453069.6957874</v>
      </c>
      <c r="J13" s="20">
        <f>J9+J10+J11+J12</f>
        <v>1038458603.4842526</v>
      </c>
      <c r="K13" s="20">
        <f>K9+K10+K11+K12</f>
        <v>1023883211.4426196</v>
      </c>
    </row>
    <row r="14" spans="1:11" x14ac:dyDescent="0.25">
      <c r="A14" t="s">
        <v>57</v>
      </c>
      <c r="B14" s="21">
        <f>1/(1+Assumptions!$B$26)^(1-0.5*Assumptions!$B$32)</f>
        <v>0.9600710978178304</v>
      </c>
      <c r="C14" s="21">
        <f>1/(1+Assumptions!$B$26)^(2-0.5*Assumptions!$B$32)</f>
        <v>0.884932585805208</v>
      </c>
      <c r="D14" s="21">
        <f>1/(1+Assumptions!$B$26)^(3-0.5*Assumptions!$B$32)</f>
        <v>0.8156746757608182</v>
      </c>
      <c r="E14" s="21">
        <f>1/(1+Assumptions!$B$26)^(4-0.5*Assumptions!$B$32)</f>
        <v>0.7518371312681755</v>
      </c>
      <c r="F14" s="21">
        <f>1/(1+Assumptions!$B$26)^(5-0.5*Assumptions!$B$32)</f>
        <v>0.692995735617654</v>
      </c>
      <c r="G14" s="21">
        <f>1/(1+Assumptions!$B$26)^(6-0.5*Assumptions!$B$32)</f>
        <v>0.6387594727786248</v>
      </c>
      <c r="H14" s="21">
        <f>1/(1+Assumptions!$B$26)^(7-0.5*Assumptions!$B$32)</f>
        <v>0.588767928998541</v>
      </c>
      <c r="I14" s="21">
        <f>1/(1+Assumptions!$B$26)^(8-0.5*Assumptions!$B$32)</f>
        <v>0.5426888977619421</v>
      </c>
      <c r="J14" s="21">
        <f>1/(1+Assumptions!$B$26)^(9-0.5*Assumptions!$B$32)</f>
        <v>0.5002161721937156</v>
      </c>
      <c r="K14" s="21">
        <f>1/(1+Assumptions!$B$26)^(10-0.5*Assumptions!$B$32)</f>
        <v>0.4610675102365809</v>
      </c>
    </row>
    <row r="15" spans="1:11" x14ac:dyDescent="0.25">
      <c r="A15" s="19" t="s">
        <v>58</v>
      </c>
      <c r="B15" s="20">
        <f>B13*B14</f>
        <v>893917869.957259</v>
      </c>
      <c r="C15" s="20">
        <f>C13*C14</f>
        <v>874450901.8586257</v>
      </c>
      <c r="D15" s="20">
        <f>D13*D14</f>
        <v>824248269.8747233</v>
      </c>
      <c r="E15" s="20">
        <f>E13*E14</f>
        <v>773085448.3273423</v>
      </c>
      <c r="F15" s="20">
        <f>F13*F14</f>
        <v>721458563.3405052</v>
      </c>
      <c r="G15" s="20">
        <f>G13*G14</f>
        <v>669845716.4859658</v>
      </c>
      <c r="H15" s="20">
        <f>H13*H14</f>
        <v>618699628.0658947</v>
      </c>
      <c r="I15" s="20">
        <f>I13*I14</f>
        <v>568441151.8505696</v>
      </c>
      <c r="J15" s="20">
        <f>J13*J14</f>
        <v>519453787.61652434</v>
      </c>
      <c r="K15" s="20">
        <f>K13*K14</f>
        <v>472079283.0728833</v>
      </c>
    </row>
    <row r="17" spans="1:2" x14ac:dyDescent="0.25">
      <c r="A17" s="22" t="s">
        <v>59</v>
      </c>
      <c r="B17" s="23">
        <f>SUM(B15:K15)</f>
        <v>6935680620.4502945</v>
      </c>
    </row>
    <row r="19" spans="1:11" x14ac:dyDescent="0.25">
      <c r="A19" t="s">
        <v>7</v>
      </c>
      <c r="B19" s="9">
        <f>Assumptions!$B$10+($B$20-Assumptions!$B$10)*0/9</f>
        <v>0.05666264530427495</v>
      </c>
      <c r="C19" s="9">
        <f>Assumptions!$B$10+($B$20-Assumptions!$B$10)*1/9</f>
        <v>0.06189255651453921</v>
      </c>
      <c r="D19" s="9">
        <f>Assumptions!$B$10+($B$20-Assumptions!$B$10)*2/9</f>
        <v>0.06712246772480347</v>
      </c>
      <c r="E19" s="9">
        <f>Assumptions!$B$10+($B$20-Assumptions!$B$10)*3/9</f>
        <v>0.07235237893506774</v>
      </c>
      <c r="F19" s="9">
        <f>Assumptions!$B$10+($B$20-Assumptions!$B$10)*4/9</f>
        <v>0.077582290145332</v>
      </c>
      <c r="G19" s="9">
        <f>Assumptions!$B$10+($B$20-Assumptions!$B$10)*5/9</f>
        <v>0.08281220135559628</v>
      </c>
      <c r="H19" s="9">
        <f>Assumptions!$B$10+($B$20-Assumptions!$B$10)*6/9</f>
        <v>0.08804211256586053</v>
      </c>
      <c r="I19" s="9">
        <f>Assumptions!$B$10+($B$20-Assumptions!$B$10)*7/9</f>
        <v>0.09327202377612479</v>
      </c>
      <c r="J19" s="9">
        <f>Assumptions!$B$10+($B$20-Assumptions!$B$10)*8/9</f>
        <v>0.09850193498638905</v>
      </c>
      <c r="K19" s="9">
        <f>Assumptions!$B$10+($B$20-Assumptions!$B$10)*9/9</f>
        <v>0.10373184619665332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0.10373184619665332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1023883211.4426196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1534093850.9506037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0.29443376043185004</v>
      </c>
    </row>
    <row r="7" spans="1:2" x14ac:dyDescent="0.25">
      <c r="A7" t="s">
        <v>66</v>
      </c>
      <c r="B7" s="18">
        <f>-MAX(B5,0)*B6</f>
        <v>-451689021.39076436</v>
      </c>
    </row>
    <row r="8" spans="1:2" x14ac:dyDescent="0.25">
      <c r="A8" t="s">
        <v>67</v>
      </c>
      <c r="B8" s="18">
        <f>IF(OR(Assumptions!$B$33=0,Assumptions!B12&lt;=0),B5,MAX(B5+B7,0))</f>
        <v>1082404829.5598392</v>
      </c>
    </row>
    <row r="9" spans="1:2" x14ac:dyDescent="0.25">
      <c r="A9" t="s">
        <v>68</v>
      </c>
      <c r="B9" s="18">
        <f>B8*(1+Assumptions!B12)/(Assumptions!B26-Assumptions!B12)</f>
        <v>18519249877.02133</v>
      </c>
    </row>
    <row r="10" spans="1:2" x14ac:dyDescent="0.25">
      <c r="A10" t="s">
        <v>69</v>
      </c>
      <c r="B10" s="18">
        <f>B9/(1+Assumptions!B26)^(10-0.5*Assumptions!B32)</f>
        <v>8538624432.247332</v>
      </c>
    </row>
    <row r="11" spans="1:2" x14ac:dyDescent="0.25">
      <c r="A11" t="s">
        <v>70</v>
      </c>
      <c r="B11" s="18">
        <f>Forecast!B17+B10</f>
        <v>15474305052.697626</v>
      </c>
    </row>
    <row r="12" spans="1:2" x14ac:dyDescent="0.25">
      <c r="A12" t="s">
        <v>71</v>
      </c>
      <c r="B12" s="18">
        <f>-Assumptions!B30</f>
        <v>-2289700000</v>
      </c>
    </row>
    <row r="13" spans="1:2" x14ac:dyDescent="0.25">
      <c r="A13" t="s">
        <v>72</v>
      </c>
      <c r="B13" s="18">
        <f>B11+B12</f>
        <v>13184605052.697626</v>
      </c>
    </row>
    <row r="14" spans="1:2" x14ac:dyDescent="0.25">
      <c r="A14" s="19" t="s">
        <v>73</v>
      </c>
      <c r="B14" s="24">
        <f>B13/Assumptions!B31</f>
        <v>278.15622474045625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2303257374.02767</v>
      </c>
    </row>
    <row r="18" spans="1:2" x14ac:dyDescent="0.25">
      <c r="A18" t="s">
        <v>68</v>
      </c>
      <c r="B18" s="18">
        <f>B17*Assumptions!B13</f>
        <v>46065147480.5534</v>
      </c>
    </row>
    <row r="19" spans="1:2" x14ac:dyDescent="0.25">
      <c r="A19" t="s">
        <v>69</v>
      </c>
      <c r="B19" s="18">
        <f>B18/(1+Assumptions!B26)^(10-0.5*Assumptions!B32)</f>
        <v>21239142857.53966</v>
      </c>
    </row>
    <row r="20" spans="1:2" x14ac:dyDescent="0.25">
      <c r="A20" t="s">
        <v>70</v>
      </c>
      <c r="B20" s="18">
        <f>Forecast!B17+B19</f>
        <v>28174823477.989956</v>
      </c>
    </row>
    <row r="21" spans="1:2" x14ac:dyDescent="0.25">
      <c r="A21" t="s">
        <v>71</v>
      </c>
      <c r="B21" s="18">
        <f>-Assumptions!B30</f>
        <v>-2289700000</v>
      </c>
    </row>
    <row r="22" spans="1:2" x14ac:dyDescent="0.25">
      <c r="A22" t="s">
        <v>72</v>
      </c>
      <c r="B22" s="18">
        <f>B20+B21</f>
        <v>25885123477.989956</v>
      </c>
    </row>
    <row r="23" spans="1:2" x14ac:dyDescent="0.25">
      <c r="A23" s="19" t="s">
        <v>73</v>
      </c>
      <c r="B23" s="25">
        <f>B22/Assumptions!B31</f>
        <v>546.0996514343873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658.23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278.15622474045625</v>
      </c>
    </row>
    <row r="29" spans="1:2" x14ac:dyDescent="0.25">
      <c r="A29" s="19" t="s">
        <v>81</v>
      </c>
      <c r="B29" s="11">
        <f>B28/B26-1</f>
        <v>-0.5774178862396788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0.064909</v>
      </c>
      <c r="B5" s="31">
        <v>407.6375104625202</v>
      </c>
      <c r="C5" s="31">
        <v>407.1431815510111</v>
      </c>
      <c r="D5" s="31">
        <v>407.8747971048152</v>
      </c>
      <c r="E5" s="31">
        <v>410.35913150818</v>
      </c>
      <c r="F5" s="31">
        <v>415.47521056415525</v>
      </c>
    </row>
    <row r="6" spans="1:6" x14ac:dyDescent="0.25">
      <c r="A6" s="30">
        <v>0.074909</v>
      </c>
      <c r="B6" s="31">
        <v>333.5389903552817</v>
      </c>
      <c r="C6" s="31">
        <v>328.5510538915427</v>
      </c>
      <c r="D6" s="31">
        <v>323.5631174278037</v>
      </c>
      <c r="E6" s="31">
        <v>318.57518096406477</v>
      </c>
      <c r="F6" s="31">
        <v>313.5872445003257</v>
      </c>
    </row>
    <row r="7" spans="1:6" x14ac:dyDescent="0.25">
      <c r="A7" s="30">
        <v>0.084909</v>
      </c>
      <c r="B7" s="31">
        <v>286.4792794307035</v>
      </c>
      <c r="C7" s="31">
        <v>282.3172349879798</v>
      </c>
      <c r="D7" s="32">
        <v>278.15519054525606</v>
      </c>
      <c r="E7" s="31">
        <v>273.99314610253225</v>
      </c>
      <c r="F7" s="31">
        <v>269.8311016598085</v>
      </c>
    </row>
    <row r="8" spans="1:6" x14ac:dyDescent="0.25">
      <c r="A8" s="30">
        <v>0.094909</v>
      </c>
      <c r="B8" s="31">
        <v>249.50598365844107</v>
      </c>
      <c r="C8" s="31">
        <v>245.98123058193312</v>
      </c>
      <c r="D8" s="31">
        <v>242.45647750542508</v>
      </c>
      <c r="E8" s="31">
        <v>238.9317244289172</v>
      </c>
      <c r="F8" s="31">
        <v>235.40697135240913</v>
      </c>
    </row>
    <row r="9" spans="1:6" x14ac:dyDescent="0.25">
      <c r="A9" s="30">
        <v>0.104909</v>
      </c>
      <c r="B9" s="31">
        <v>219.72253489782298</v>
      </c>
      <c r="C9" s="31">
        <v>216.7014542581443</v>
      </c>
      <c r="D9" s="31">
        <v>213.6803736184656</v>
      </c>
      <c r="E9" s="31">
        <v>210.659292978787</v>
      </c>
      <c r="F9" s="31">
        <v>207.6382123391083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6115400000</v>
      </c>
      <c r="C5" s="18">
        <v>5670000000</v>
      </c>
      <c r="D5" s="18">
        <v>5635500000</v>
      </c>
      <c r="E5" s="18">
        <v>5458600000</v>
      </c>
      <c r="F5" s="6" t="s">
        <v>91</v>
      </c>
    </row>
    <row r="6" spans="1:6" x14ac:dyDescent="0.25">
      <c r="A6" t="s">
        <v>51</v>
      </c>
      <c r="B6" s="18">
        <v>1149800000</v>
      </c>
      <c r="C6" s="18">
        <v>1041600000</v>
      </c>
      <c r="D6" s="18">
        <v>1034400000</v>
      </c>
      <c r="E6" s="18">
        <v>972400000</v>
      </c>
      <c r="F6" s="6" t="s">
        <v>92</v>
      </c>
    </row>
    <row r="7" spans="1:6" x14ac:dyDescent="0.25">
      <c r="A7" t="s">
        <v>93</v>
      </c>
      <c r="B7" s="18">
        <v>336300000</v>
      </c>
      <c r="C7" s="18">
        <v>309900000</v>
      </c>
      <c r="D7" s="18">
        <v>316400000</v>
      </c>
      <c r="E7" s="18">
        <v>332200000</v>
      </c>
      <c r="F7" s="6" t="s">
        <v>94</v>
      </c>
    </row>
    <row r="8" spans="1:6" x14ac:dyDescent="0.25">
      <c r="A8" t="s">
        <v>95</v>
      </c>
      <c r="B8" s="18">
        <v>117300000</v>
      </c>
      <c r="C8" s="18">
        <v>83700000</v>
      </c>
      <c r="D8" s="18">
        <v>114900000</v>
      </c>
      <c r="E8" s="18">
        <v>92600000</v>
      </c>
      <c r="F8" s="6" t="s">
        <v>96</v>
      </c>
    </row>
    <row r="9" spans="1:6" x14ac:dyDescent="0.25">
      <c r="A9" t="s">
        <v>97</v>
      </c>
      <c r="B9" s="18">
        <v>65300000</v>
      </c>
      <c r="C9" s="18">
        <v>28900000</v>
      </c>
      <c r="D9" s="18">
        <v>397600000</v>
      </c>
      <c r="E9" s="18">
        <v>655600000</v>
      </c>
      <c r="F9" s="6" t="s">
        <v>98</v>
      </c>
    </row>
    <row r="10" spans="1:6" x14ac:dyDescent="0.25">
      <c r="A10" t="s">
        <v>99</v>
      </c>
      <c r="B10" s="18">
        <v>2642100000</v>
      </c>
      <c r="C10" s="18">
        <v>2788800000</v>
      </c>
      <c r="D10" s="18">
        <v>3244900000</v>
      </c>
      <c r="E10" s="18">
        <v>3920600000</v>
      </c>
      <c r="F10" s="6" t="s">
        <v>100</v>
      </c>
    </row>
    <row r="11" spans="1:6" x14ac:dyDescent="0.25">
      <c r="A11" t="s">
        <v>101</v>
      </c>
      <c r="B11" s="18">
        <v>352400000</v>
      </c>
      <c r="C11" s="18">
        <v>649800000</v>
      </c>
      <c r="D11" s="18">
        <v>648300000</v>
      </c>
      <c r="E11" s="18">
        <v>638100000</v>
      </c>
      <c r="F11" s="6" t="s">
        <v>102</v>
      </c>
    </row>
    <row r="12" spans="1:6" x14ac:dyDescent="0.25">
      <c r="A12" t="s">
        <v>34</v>
      </c>
      <c r="B12" s="34">
        <v>47400000</v>
      </c>
      <c r="C12" s="34">
        <v>47600000</v>
      </c>
      <c r="D12" s="34">
        <v>47900000</v>
      </c>
      <c r="E12" s="34">
        <v>47700000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