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<sst xmlns="http://schemas.openxmlformats.org/spreadsheetml/2006/main" count="121" uniqueCount="108">
  <si>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Bio-Techne Corporation (TECH)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</si>
  <si>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</si>
  <si>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</si>
  <si>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</si>
  <si>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</si>
  <si>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</si>
  <si>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</si>
  <si>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</si>
  <si>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</si>
  <si>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</si>
  <si>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</si>
  <si>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</si>
  <si>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</si>
  <si>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</si>
  <si>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</si>
  <si>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</si>
  <si>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</si>
  <si>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</si>
  <si>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</si>
  <si>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</si>
  <si>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</si>
  <si>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</si>
  <si>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</si>
  <si>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</si>
  <si>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28.3x interest cover. Book interest / average debt was lower, at 2.6%.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</si>
  <si>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</si>
  <si>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</si>
  <si>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</si>
  <si>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</si>
  <si>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</si>
  <si>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</si>
  <si>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</si>
  <si>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</si>
  <si>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</si>
  <si>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</si>
  <si>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</si>
  <si>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</si>
  <si>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</si>
  <si>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</si>
  <si>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</si>
  <si>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</si>
  <si>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</si>
  <si>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</si>
  <si>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</si>
  <si>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</si>
  <si>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</si>
  <si>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</si>
  <si>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</si>
  <si>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</si>
  <si>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</si>
  <si>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</si>
  <si>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</si>
  <si>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</si>
  <si>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</si>
  <si>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</si>
  <si>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</si>
  <si>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</si>
  <si>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</si>
  <si>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</si>
  <si>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</si>
  <si>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</si>
  <si>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</si>
  <si>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</si>
  <si>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</si>
  <si>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</si>
  <si>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</si>
  <si>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</si>
  <si>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</si>
  <si>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</si>
  <si>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</si>
  <si>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</si>
  <si>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</si>
  <si>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</si>
  <si>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</si>
  <si>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</si>
  <si>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</si>
  <si>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</si>
  <si>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</si>
  <si>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</si>
  <si>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</si>
  <si>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</si>
  <si>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</si>
  <si>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</si>
  <si>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</si>
  <si>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</si>
  <si>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</si>
  <si>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</si>
  <si>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</si>
  <si>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</si>
  <si>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</si>
  <si>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</si>
  <si>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</si>
  <si>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</si>
  <si>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</si>
  <si>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</si>
  <si>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</si>
  <si>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</si>
  <si>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</si>
  <si>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</si>
  <si>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</si>
  <si>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</si>
  <si>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</si>
  <si>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</si>
  <si>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</si>
  <si>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</si>
  <si>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3.43% of revenue against depreciation and amortisation of 9.02%. A business cannot depreciate more than it invests indefinitely. Capex has been set to 9.02%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</si>
  <si>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30.9x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</si>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</sst>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0.04388284655883479</v>
      </c>
    </row>
    <row r="7" spans="1:2" x14ac:dyDescent="0.25">
      <c r="A7" t="s">
        <v>4</v>
      </c>
      <c r="B7" s="5">
        <v>0.22300804026425475</v>
      </c>
    </row>
    <row r="8" spans="1:2" x14ac:dyDescent="0.25">
      <c r="A8" t="s">
        <v>5</v>
      </c>
      <c r="B8" s="5">
        <v>0.2007614755087549</v>
      </c>
    </row>
    <row r="9" spans="1:2" x14ac:dyDescent="0.25">
      <c r="A9" t="s">
        <v>6</v>
      </c>
      <c r="B9" s="5">
        <v>0.09024042867010161</v>
      </c>
    </row>
    <row r="10" spans="1:3" x14ac:dyDescent="0.25">
      <c r="A10" t="s">
        <v>7</v>
      </c>
      <c r="B10" s="5">
        <v>0.09024042867010161</v>
      </c>
      <c r="C10" s="6" t="s">
        <v>8</v>
      </c>
    </row>
    <row r="11" spans="1:2" x14ac:dyDescent="0.25">
      <c r="A11" t="s">
        <v>9</v>
      </c>
      <c r="B11" s="5">
        <v>0.31899052851338694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0.09763254637253735</v>
      </c>
      <c r="C14" s="6" t="s">
        <v>13</v>
      </c>
    </row>
    <row r="15" spans="1:3" x14ac:dyDescent="0.25">
      <c r="A15" t="s">
        <v>14</v>
      </c>
      <c r="B15" s="5">
        <v>0.09024042867010161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1.18425</v>
      </c>
      <c r="C19" s="6" t="s">
        <v>21</v>
      </c>
    </row>
    <row r="20" spans="1:2" x14ac:dyDescent="0.25">
      <c r="A20" t="s">
        <v>22</v>
      </c>
      <c r="B20" s="9">
        <f>B17+B19*B18</f>
        <v>0.099033775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11413227520</v>
      </c>
    </row>
    <row r="23" spans="1:2" x14ac:dyDescent="0.25">
      <c r="A23" t="s">
        <v>26</v>
      </c>
      <c r="B23" s="10">
        <v>289087000</v>
      </c>
    </row>
    <row r="24" spans="1:2" x14ac:dyDescent="0.25">
      <c r="A24" t="s">
        <v>27</v>
      </c>
      <c r="B24" s="9">
        <f>B22/(B22+B23)</f>
        <v>0.975296596283929</v>
      </c>
    </row>
    <row r="25" spans="1:2" x14ac:dyDescent="0.25">
      <c r="A25" t="s">
        <v>28</v>
      </c>
      <c r="B25" s="9">
        <f>1-B24</f>
        <v>0.02470340371607105</v>
      </c>
    </row>
    <row r="26" spans="1:2" x14ac:dyDescent="0.25">
      <c r="A26" t="s">
        <v>29</v>
      </c>
      <c r="B26" s="11">
        <f>B24*B20+B25*B21*(1-B8)</f>
        <v>0.09763254637253735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1215039000</v>
      </c>
      <c r="C29" s="6" t="s">
        <v>32</v>
      </c>
    </row>
    <row r="30" spans="1:2" x14ac:dyDescent="0.25">
      <c r="A30" t="s">
        <v>33</v>
      </c>
      <c r="B30" s="10">
        <v>24375000</v>
      </c>
    </row>
    <row r="31" spans="1:2" x14ac:dyDescent="0.25">
      <c r="A31" t="s">
        <v>34</v>
      </c>
      <c r="B31" s="12">
        <v>157009000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0.04388284655883479</v>
      </c>
      <c r="C5" s="5">
        <v>0.10051406054899137</v>
      </c>
      <c r="D5" s="5">
        <v>0.09107480298036745</v>
      </c>
      <c r="E5" s="5">
        <v>0.08163554541174353</v>
      </c>
      <c r="F5" s="5">
        <v>0.0721962878431196</v>
      </c>
      <c r="G5" s="5">
        <v>0.06275703027449568</v>
      </c>
      <c r="H5" s="5">
        <v>0.05331777270587176</v>
      </c>
      <c r="I5" s="5">
        <v>0.04387851513724784</v>
      </c>
      <c r="J5" s="5">
        <v>0.03443925756862391</v>
      </c>
      <c r="K5" s="5">
        <v>0.024999999999999994</v>
      </c>
    </row>
    <row r="6" spans="1:11" x14ac:dyDescent="0.25">
      <c r="A6" t="s">
        <v>50</v>
      </c>
      <c r="B6" s="18">
        <f>Assumptions!B29*(1+B5)</f>
        <v>1268358370</v>
      </c>
      <c r="C6" s="18">
        <f>B6*(1+C5)</f>
        <v>1395846220</v>
      </c>
      <c r="D6" s="18">
        <f>C6*(1+D5)</f>
        <v>1522972639.4773905</v>
      </c>
      <c r="E6" s="18">
        <f>D6*(1+E5)</f>
        <v>1647301341.5482898</v>
      </c>
      <c r="F6" s="18">
        <f>E6*(1+F5)</f>
        <v>1766230383.367067</v>
      </c>
      <c r="G6" s="18">
        <f>F6*(1+G5)</f>
        <v>1877073757.0077684</v>
      </c>
      <c r="H6" s="18">
        <f>G6*(1+H5)</f>
        <v>1977155148.9360654</v>
      </c>
      <c r="I6" s="18">
        <f>H6*(1+I5)</f>
        <v>2063909781.0673442</v>
      </c>
      <c r="J6" s="18">
        <f>I6*(1+J5)</f>
        <v>2134989301.6159246</v>
      </c>
      <c r="K6" s="18">
        <f>J6*(1+K5)</f>
        <v>2188364034.1563225</v>
      </c>
    </row>
    <row r="7" spans="1:11" x14ac:dyDescent="0.25">
      <c r="A7" t="s">
        <v>4</v>
      </c>
      <c r="B7" s="9">
        <f>Assumptions!B7</f>
        <v>0.22300804026425475</v>
      </c>
      <c r="C7" s="9">
        <f>Assumptions!B7</f>
        <v>0.22300804026425475</v>
      </c>
      <c r="D7" s="9">
        <f>Assumptions!B7</f>
        <v>0.22300804026425475</v>
      </c>
      <c r="E7" s="9">
        <f>Assumptions!B7</f>
        <v>0.22300804026425475</v>
      </c>
      <c r="F7" s="9">
        <f>Assumptions!B7</f>
        <v>0.22300804026425475</v>
      </c>
      <c r="G7" s="9">
        <f>Assumptions!B7</f>
        <v>0.22300804026425475</v>
      </c>
      <c r="H7" s="9">
        <f>Assumptions!B7</f>
        <v>0.22300804026425475</v>
      </c>
      <c r="I7" s="9">
        <f>Assumptions!B7</f>
        <v>0.22300804026425475</v>
      </c>
      <c r="J7" s="9">
        <f>Assumptions!B7</f>
        <v>0.22300804026425475</v>
      </c>
      <c r="K7" s="9">
        <f>Assumptions!B7</f>
        <v>0.22300804026425475</v>
      </c>
    </row>
    <row r="8" spans="1:11" x14ac:dyDescent="0.25">
      <c r="A8" t="s">
        <v>51</v>
      </c>
      <c r="B8" s="18">
        <f>B6*B7</f>
        <v>282854114.44646454</v>
      </c>
      <c r="C8" s="18">
        <f>C6*C7</f>
        <v>311284930.0324678</v>
      </c>
      <c r="D8" s="18">
        <f>D6*D7</f>
        <v>339635143.70593226</v>
      </c>
      <c r="E8" s="18">
        <f>E6*E7</f>
        <v>367361443.90336186</v>
      </c>
      <c r="F8" s="18">
        <f>F6*F7</f>
        <v>393883576.449873</v>
      </c>
      <c r="G8" s="18">
        <f>G6*G7</f>
        <v>418602539.9817643</v>
      </c>
      <c r="H8" s="18">
        <f>H6*H7</f>
        <v>440921495.06261265</v>
      </c>
      <c r="I8" s="18">
        <f>I6*I7</f>
        <v>460268475.5580555</v>
      </c>
      <c r="J8" s="18">
        <f>J6*J7</f>
        <v>476119780.13851726</v>
      </c>
      <c r="K8" s="18">
        <f>K6*K7</f>
        <v>488022774.6419801</v>
      </c>
    </row>
    <row r="9" spans="1:11" x14ac:dyDescent="0.25">
      <c r="A9" t="s">
        <v>52</v>
      </c>
      <c r="B9" s="18">
        <f>B8*(1-Assumptions!B8)</f>
        <v>226067905.0764701</v>
      </c>
      <c r="C9" s="18">
        <f>C8*(1-Assumptions!B8)</f>
        <v>248790908.17551002</v>
      </c>
      <c r="D9" s="18">
        <f>D8*(1-Assumptions!B8)</f>
        <v>271449491.1209013</v>
      </c>
      <c r="E9" s="18">
        <f>E8*(1-Assumptions!B8)</f>
        <v>293609418.38029623</v>
      </c>
      <c r="F9" s="18">
        <f>F8*(1-Assumptions!B8)</f>
        <v>314806928.463131</v>
      </c>
      <c r="G9" s="18">
        <f>G8*(1-Assumptions!B8)</f>
        <v>334563276.40331274</v>
      </c>
      <c r="H9" s="18">
        <f>H8*(1-Assumptions!B8)</f>
        <v>352401445.1303164</v>
      </c>
      <c r="I9" s="18">
        <f>I8*(1-Assumptions!B8)</f>
        <v>367864297.274855</v>
      </c>
      <c r="J9" s="18">
        <f>J8*(1-Assumptions!B8)</f>
        <v>380533270.55900455</v>
      </c>
      <c r="K9" s="18">
        <f>K8*(1-Assumptions!B8)</f>
        <v>390046602.3229796</v>
      </c>
    </row>
    <row r="10" spans="1:11" x14ac:dyDescent="0.25">
      <c r="A10" t="s">
        <v>53</v>
      </c>
      <c r="B10" s="18">
        <f>B6*Assumptions!B9</f>
        <v>114457203.01611134</v>
      </c>
      <c r="C10" s="18">
        <f>C6*Assumptions!B9</f>
        <v>125961761.25034095</v>
      </c>
      <c r="D10" s="18">
        <f>D6*Assumptions!B9</f>
        <v>137433703.83927584</v>
      </c>
      <c r="E10" s="18">
        <f>E6*Assumptions!B9</f>
        <v>148653179.21015114</v>
      </c>
      <c r="F10" s="18">
        <f>F6*Assumptions!B9</f>
        <v>159385386.92520204</v>
      </c>
      <c r="G10" s="18">
        <f>G6*Assumptions!B9</f>
        <v>169387940.47777918</v>
      </c>
      <c r="H10" s="18">
        <f>H6*Assumptions!B9</f>
        <v>178419328.18728915</v>
      </c>
      <c r="I10" s="18">
        <f>I6*Assumptions!B9</f>
        <v>186248103.3799327</v>
      </c>
      <c r="J10" s="18">
        <f>J6*Assumptions!B9</f>
        <v>192662349.7839019</v>
      </c>
      <c r="K10" s="18">
        <f>K6*Assumptions!B9</f>
        <v>197478908.52849942</v>
      </c>
    </row>
    <row r="11" spans="1:11" x14ac:dyDescent="0.25">
      <c r="A11" t="s">
        <v>54</v>
      </c>
      <c r="B11" s="18">
        <f>-B6*B19</f>
        <v>-114457203.01611134</v>
      </c>
      <c r="C11" s="18">
        <f>-C6*C19</f>
        <v>-133040198.53093898</v>
      </c>
      <c r="D11" s="18">
        <f>-D6*D19</f>
        <v>-152879912.96195057</v>
      </c>
      <c r="E11" s="18">
        <f>-E6*E19</f>
        <v>-173713932.45357335</v>
      </c>
      <c r="F11" s="18">
        <f>-F6*F19</f>
        <v>-195212115.722735</v>
      </c>
      <c r="G11" s="18">
        <f>-G6*G19</f>
        <v>-216981825.35442403</v>
      </c>
      <c r="H11" s="18">
        <f>-H6*H19</f>
        <v>-238577109.9625138</v>
      </c>
      <c r="I11" s="18">
        <f>-I6*I19</f>
        <v>-259511755.27898353</v>
      </c>
      <c r="J11" s="18">
        <f>-J6*J19</f>
        <v>-279275832.84358215</v>
      </c>
      <c r="K11" s="18">
        <f>-K6*K19</f>
        <v>-297355081.1816932</v>
      </c>
    </row>
    <row r="12" spans="1:11" x14ac:dyDescent="0.25">
      <c r="A12" t="s">
        <v>55</v>
      </c>
      <c r="B12" s="18">
        <f>-(B6-Assumptions!B29)*Assumptions!B11</f>
        <v>-17008374.016300827</v>
      </c>
      <c r="C12" s="18">
        <f>-(C6-B6)*Assumptions!B11</f>
        <v>-40667416.6505354</v>
      </c>
      <c r="D12" s="18">
        <f>-(D6-C6)*Assumptions!B11</f>
        <v>-40552123.73710733</v>
      </c>
      <c r="E12" s="18">
        <f>-(E6-D6)*Assumptions!B11</f>
        <v>-39659678.38297958</v>
      </c>
      <c r="F12" s="18">
        <f>-(F6-E6)*Assumptions!B11</f>
        <v>-37937237.90536247</v>
      </c>
      <c r="G12" s="18">
        <f>-(G6-F6)*Assumptions!B11</f>
        <v>-35357986.33985413</v>
      </c>
      <c r="H12" s="18">
        <f>-(H6-G6)*Assumptions!B11</f>
        <v>-31925016.10556289</v>
      </c>
      <c r="I12" s="18">
        <f>-(I6-H6)*Assumptions!B11</f>
        <v>-27673905.95454107</v>
      </c>
      <c r="J12" s="18">
        <f>-(J6-I6)*Assumptions!B11</f>
        <v>-22673693.826269813</v>
      </c>
      <c r="K12" s="18">
        <f>-(K6-J6)*Assumptions!B11</f>
        <v>-17026034.142322194</v>
      </c>
    </row>
    <row r="13" spans="1:11" x14ac:dyDescent="0.25">
      <c r="A13" s="19" t="s">
        <v>56</v>
      </c>
      <c r="B13" s="20">
        <f>B9+B10+B11+B12</f>
        <v>209059531.06016928</v>
      </c>
      <c r="C13" s="20">
        <f>C9+C10+C11+C12</f>
        <v>201045054.2443766</v>
      </c>
      <c r="D13" s="20">
        <f>D9+D10+D11+D12</f>
        <v>215451158.26111922</v>
      </c>
      <c r="E13" s="20">
        <f>E9+E10+E11+E12</f>
        <v>228888986.75389445</v>
      </c>
      <c r="F13" s="20">
        <f>F9+F10+F11+F12</f>
        <v>241042961.7602356</v>
      </c>
      <c r="G13" s="20">
        <f>G9+G10+G11+G12</f>
        <v>251611405.18681383</v>
      </c>
      <c r="H13" s="20">
        <f>H9+H10+H11+H12</f>
        <v>260318647.2495288</v>
      </c>
      <c r="I13" s="20">
        <f>I9+I10+I11+I12</f>
        <v>266926739.4212632</v>
      </c>
      <c r="J13" s="20">
        <f>J9+J10+J11+J12</f>
        <v>271246093.6730545</v>
      </c>
      <c r="K13" s="20">
        <f>K9+K10+K11+K12</f>
        <v>273144395.5274637</v>
      </c>
    </row>
    <row r="14" spans="1:11" x14ac:dyDescent="0.25">
      <c r="A14" t="s">
        <v>57</v>
      </c>
      <c r="B14" s="21">
        <f>1/(1+Assumptions!$B$26)^(1-0.5*Assumptions!$B$32)</f>
        <v>0.9544902840867908</v>
      </c>
      <c r="C14" s="21">
        <f>1/(1+Assumptions!$B$26)^(2-0.5*Assumptions!$B$32)</f>
        <v>0.8695899982568811</v>
      </c>
      <c r="D14" s="21">
        <f>1/(1+Assumptions!$B$26)^(3-0.5*Assumptions!$B$32)</f>
        <v>0.79224144831593</v>
      </c>
      <c r="E14" s="21">
        <f>1/(1+Assumptions!$B$26)^(4-0.5*Assumptions!$B$32)</f>
        <v>0.7217729202128109</v>
      </c>
      <c r="F14" s="21">
        <f>1/(1+Assumptions!$B$26)^(5-0.5*Assumptions!$B$32)</f>
        <v>0.6575724477177088</v>
      </c>
      <c r="G14" s="21">
        <f>1/(1+Assumptions!$B$26)^(6-0.5*Assumptions!$B$32)</f>
        <v>0.5990824979551291</v>
      </c>
      <c r="H14" s="21">
        <f>1/(1+Assumptions!$B$26)^(7-0.5*Assumptions!$B$32)</f>
        <v>0.5457951296496998</v>
      </c>
      <c r="I14" s="21">
        <f>1/(1+Assumptions!$B$26)^(8-0.5*Assumptions!$B$32)</f>
        <v>0.4972475820377656</v>
      </c>
      <c r="J14" s="21">
        <f>1/(1+Assumptions!$B$26)^(9-0.5*Assumptions!$B$32)</f>
        <v>0.453018256137787</v>
      </c>
      <c r="K14" s="21">
        <f>1/(1+Assumptions!$B$26)^(10-0.5*Assumptions!$B$32)</f>
        <v>0.41272305347989596</v>
      </c>
    </row>
    <row r="15" spans="1:11" x14ac:dyDescent="0.25">
      <c r="A15" s="19" t="s">
        <v>58</v>
      </c>
      <c r="B15" s="20">
        <f>B13*B14</f>
        <v>199545291.19267225</v>
      </c>
      <c r="C15" s="20">
        <f>C13*C14</f>
        <v>174826768.369922</v>
      </c>
      <c r="D15" s="20">
        <f>D13*D14</f>
        <v>170689337.66213375</v>
      </c>
      <c r="E15" s="20">
        <f>E13*E14</f>
        <v>165205872.3739098</v>
      </c>
      <c r="F15" s="20">
        <f>F13*F14</f>
        <v>158503210.36980423</v>
      </c>
      <c r="G15" s="20">
        <f>G13*G14</f>
        <v>150735989.13331658</v>
      </c>
      <c r="H15" s="20">
        <f>H13*H14</f>
        <v>142080649.82579103</v>
      </c>
      <c r="I15" s="20">
        <f>I13*I14</f>
        <v>132728675.75844784</v>
      </c>
      <c r="J15" s="20">
        <f>J13*J14</f>
        <v>122879432.33995397</v>
      </c>
      <c r="K15" s="20">
        <f>K13*K14</f>
        <v>112732988.96301524</v>
      </c>
    </row>
    <row r="17" spans="1:2" x14ac:dyDescent="0.25">
      <c r="A17" s="22" t="s">
        <v>59</v>
      </c>
      <c r="B17" s="23">
        <f>SUM(B15:K15)</f>
        <v>1529928215.988967</v>
      </c>
    </row>
    <row r="19" spans="1:11" x14ac:dyDescent="0.25">
      <c r="A19" t="s">
        <v>7</v>
      </c>
      <c r="B19" s="9">
        <f>Assumptions!$B$10+($B$20-Assumptions!$B$10)*0/9</f>
        <v>0.09024042867010161</v>
      </c>
      <c r="C19" s="9">
        <f>Assumptions!$B$10+($B$20-Assumptions!$B$10)*1/9</f>
        <v>0.09531150109855152</v>
      </c>
      <c r="D19" s="9">
        <f>Assumptions!$B$10+($B$20-Assumptions!$B$10)*2/9</f>
        <v>0.10038257352700142</v>
      </c>
      <c r="E19" s="9">
        <f>Assumptions!$B$10+($B$20-Assumptions!$B$10)*3/9</f>
        <v>0.10545364595545133</v>
      </c>
      <c r="F19" s="9">
        <f>Assumptions!$B$10+($B$20-Assumptions!$B$10)*4/9</f>
        <v>0.11052471838390122</v>
      </c>
      <c r="G19" s="9">
        <f>Assumptions!$B$10+($B$20-Assumptions!$B$10)*5/9</f>
        <v>0.11559579081235113</v>
      </c>
      <c r="H19" s="9">
        <f>Assumptions!$B$10+($B$20-Assumptions!$B$10)*6/9</f>
        <v>0.12066686324080103</v>
      </c>
      <c r="I19" s="9">
        <f>Assumptions!$B$10+($B$20-Assumptions!$B$10)*7/9</f>
        <v>0.12573793566925096</v>
      </c>
      <c r="J19" s="9">
        <f>Assumptions!$B$10+($B$20-Assumptions!$B$10)*8/9</f>
        <v>0.13080900809770085</v>
      </c>
      <c r="K19" s="9">
        <f>Assumptions!$B$10+($B$20-Assumptions!$B$10)*9/9</f>
        <v>0.13588008052615075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0.13588008052615075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273144395.5274637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390046602.3229796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0.2560621527232045</v>
      </c>
    </row>
    <row r="7" spans="1:2" x14ac:dyDescent="0.25">
      <c r="A7" t="s">
        <v>66</v>
      </c>
      <c r="B7" s="18">
        <f>-MAX(B5,0)*B6</f>
        <v>-99876172.65319382</v>
      </c>
    </row>
    <row r="8" spans="1:2" x14ac:dyDescent="0.25">
      <c r="A8" t="s">
        <v>67</v>
      </c>
      <c r="B8" s="18">
        <f>IF(OR(Assumptions!$B$33=0,Assumptions!B12&lt;=0),B5,MAX(B5+B7,0))</f>
        <v>290170429.6697858</v>
      </c>
    </row>
    <row r="9" spans="1:2" x14ac:dyDescent="0.25">
      <c r="A9" t="s">
        <v>68</v>
      </c>
      <c r="B9" s="18">
        <f>B8*(1+Assumptions!B12)/(Assumptions!B26-Assumptions!B12)</f>
        <v>4094923078.7809453</v>
      </c>
    </row>
    <row r="10" spans="1:2" x14ac:dyDescent="0.25">
      <c r="A10" t="s">
        <v>69</v>
      </c>
      <c r="B10" s="18">
        <f>B9/(1+Assumptions!B26)^(10-0.5*Assumptions!B32)</f>
        <v>1690069156.8397684</v>
      </c>
    </row>
    <row r="11" spans="1:2" x14ac:dyDescent="0.25">
      <c r="A11" t="s">
        <v>70</v>
      </c>
      <c r="B11" s="18">
        <f>Forecast!B17+B10</f>
        <v>3219997372.8287354</v>
      </c>
    </row>
    <row r="12" spans="1:2" x14ac:dyDescent="0.25">
      <c r="A12" t="s">
        <v>71</v>
      </c>
      <c r="B12" s="18">
        <f>-Assumptions!B30</f>
        <v>-24375000</v>
      </c>
    </row>
    <row r="13" spans="1:2" x14ac:dyDescent="0.25">
      <c r="A13" t="s">
        <v>72</v>
      </c>
      <c r="B13" s="18">
        <f>B11+B12</f>
        <v>3195622372.8287354</v>
      </c>
    </row>
    <row r="14" spans="1:2" x14ac:dyDescent="0.25">
      <c r="A14" s="19" t="s">
        <v>73</v>
      </c>
      <c r="B14" s="24">
        <f>B13/Assumptions!B31</f>
        <v>20.353115890354918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685501683.1704795</v>
      </c>
    </row>
    <row r="18" spans="1:2" x14ac:dyDescent="0.25">
      <c r="A18" t="s">
        <v>68</v>
      </c>
      <c r="B18" s="18">
        <f>B17*Assumptions!B13</f>
        <v>13710033663.409592</v>
      </c>
    </row>
    <row r="19" spans="1:2" x14ac:dyDescent="0.25">
      <c r="A19" t="s">
        <v>69</v>
      </c>
      <c r="B19" s="18">
        <f>B18/(1+Assumptions!B26)^(10-0.5*Assumptions!B32)</f>
        <v>5658446956.874571</v>
      </c>
    </row>
    <row r="20" spans="1:2" x14ac:dyDescent="0.25">
      <c r="A20" t="s">
        <v>70</v>
      </c>
      <c r="B20" s="18">
        <f>Forecast!B17+B19</f>
        <v>7188375172.863538</v>
      </c>
    </row>
    <row r="21" spans="1:2" x14ac:dyDescent="0.25">
      <c r="A21" t="s">
        <v>71</v>
      </c>
      <c r="B21" s="18">
        <f>-Assumptions!B30</f>
        <v>-24375000</v>
      </c>
    </row>
    <row r="22" spans="1:2" x14ac:dyDescent="0.25">
      <c r="A22" t="s">
        <v>72</v>
      </c>
      <c r="B22" s="18">
        <f>B20+B21</f>
        <v>7164000172.863538</v>
      </c>
    </row>
    <row r="23" spans="1:2" x14ac:dyDescent="0.25">
      <c r="A23" s="19" t="s">
        <v>73</v>
      </c>
      <c r="B23" s="25">
        <f>B22/Assumptions!B31</f>
        <v>45.627958733980456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72.67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20.353115890354918</v>
      </c>
    </row>
    <row r="29" spans="1:2" x14ac:dyDescent="0.25">
      <c r="A29" s="19" t="s">
        <v>81</v>
      </c>
      <c r="B29" s="11">
        <f>B28/B26-1</f>
        <v>-0.7199240967337978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0.077633</v>
      </c>
      <c r="B5" s="31">
        <v>27.54160715961959</v>
      </c>
      <c r="C5" s="31">
        <v>27.48848897422498</v>
      </c>
      <c r="D5" s="31">
        <v>27.48308248046014</v>
      </c>
      <c r="E5" s="31">
        <v>27.54041245892775</v>
      </c>
      <c r="F5" s="31">
        <v>27.682552117787836</v>
      </c>
    </row>
    <row r="6" spans="1:6" x14ac:dyDescent="0.25">
      <c r="A6" s="30">
        <v>0.087633</v>
      </c>
      <c r="B6" s="31">
        <v>23.594735814402302</v>
      </c>
      <c r="C6" s="31">
        <v>23.34017879894468</v>
      </c>
      <c r="D6" s="31">
        <v>23.090903952563714</v>
      </c>
      <c r="E6" s="31">
        <v>22.848286052490327</v>
      </c>
      <c r="F6" s="31">
        <v>22.61422227719836</v>
      </c>
    </row>
    <row r="7" spans="1:6" x14ac:dyDescent="0.25">
      <c r="A7" s="30">
        <v>0.097633</v>
      </c>
      <c r="B7" s="31">
        <v>20.855027059098788</v>
      </c>
      <c r="C7" s="31">
        <v>20.604019724558572</v>
      </c>
      <c r="D7" s="32">
        <v>20.353012390018357</v>
      </c>
      <c r="E7" s="31">
        <v>20.10200505547815</v>
      </c>
      <c r="F7" s="31">
        <v>19.850997720937936</v>
      </c>
    </row>
    <row r="8" spans="1:6" x14ac:dyDescent="0.25">
      <c r="A8" s="30">
        <v>0.107633</v>
      </c>
      <c r="B8" s="31">
        <v>18.72111925764051</v>
      </c>
      <c r="C8" s="31">
        <v>18.505493714129052</v>
      </c>
      <c r="D8" s="31">
        <v>18.289868170617595</v>
      </c>
      <c r="E8" s="31">
        <v>18.07424262710614</v>
      </c>
      <c r="F8" s="31">
        <v>17.858617083594684</v>
      </c>
    </row>
    <row r="9" spans="1:6" x14ac:dyDescent="0.25">
      <c r="A9" s="30">
        <v>0.117633</v>
      </c>
      <c r="B9" s="31">
        <v>16.962747314298355</v>
      </c>
      <c r="C9" s="31">
        <v>16.775751113673643</v>
      </c>
      <c r="D9" s="31">
        <v>16.58875491304893</v>
      </c>
      <c r="E9" s="31">
        <v>16.40175871242421</v>
      </c>
      <c r="F9" s="31">
        <v>16.2147625117995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1215039000</v>
      </c>
      <c r="C5" s="18">
        <v>1219635000</v>
      </c>
      <c r="D5" s="18">
        <v>1159060000</v>
      </c>
      <c r="E5" s="18">
        <v>1136702000</v>
      </c>
      <c r="F5" s="6" t="s">
        <v>91</v>
      </c>
    </row>
    <row r="6" spans="1:6" x14ac:dyDescent="0.25">
      <c r="A6" t="s">
        <v>51</v>
      </c>
      <c r="B6" s="18">
        <v>272611000</v>
      </c>
      <c r="C6" s="18">
        <v>242804000</v>
      </c>
      <c r="D6" s="18">
        <v>246401000</v>
      </c>
      <c r="E6" s="18">
        <v>290998000</v>
      </c>
      <c r="F6" s="6" t="s">
        <v>92</v>
      </c>
    </row>
    <row r="7" spans="1:6" x14ac:dyDescent="0.25">
      <c r="A7" t="s">
        <v>93</v>
      </c>
      <c r="B7" s="18">
        <v>97359000</v>
      </c>
      <c r="C7" s="18">
        <v>109903000</v>
      </c>
      <c r="D7" s="18">
        <v>111711000</v>
      </c>
      <c r="E7" s="18">
        <v>107238000</v>
      </c>
      <c r="F7" s="6" t="s">
        <v>94</v>
      </c>
    </row>
    <row r="8" spans="1:6" x14ac:dyDescent="0.25">
      <c r="A8" t="s">
        <v>95</v>
      </c>
      <c r="B8" s="18">
        <v>28850000</v>
      </c>
      <c r="C8" s="18">
        <v>31006000</v>
      </c>
      <c r="D8" s="18">
        <v>62877000</v>
      </c>
      <c r="E8" s="18">
        <v>38244000</v>
      </c>
      <c r="F8" s="6" t="s">
        <v>96</v>
      </c>
    </row>
    <row r="9" spans="1:6" x14ac:dyDescent="0.25">
      <c r="A9" t="s">
        <v>97</v>
      </c>
      <c r="B9" s="18">
        <v>41303000</v>
      </c>
      <c r="C9" s="18">
        <v>-11539000</v>
      </c>
      <c r="D9" s="18">
        <v>10106000</v>
      </c>
      <c r="E9" s="18">
        <v>90577000</v>
      </c>
      <c r="F9" s="6" t="s">
        <v>98</v>
      </c>
    </row>
    <row r="10" spans="1:6" x14ac:dyDescent="0.25">
      <c r="A10" t="s">
        <v>99</v>
      </c>
      <c r="B10" s="18">
        <v>289087000</v>
      </c>
      <c r="C10" s="18">
        <v>444058000</v>
      </c>
      <c r="D10" s="18">
        <v>419538000</v>
      </c>
      <c r="E10" s="18">
        <v>454965000</v>
      </c>
      <c r="F10" s="6" t="s">
        <v>100</v>
      </c>
    </row>
    <row r="11" spans="1:6" x14ac:dyDescent="0.25">
      <c r="A11" t="s">
        <v>101</v>
      </c>
      <c r="B11" s="18">
        <v>264712000</v>
      </c>
      <c r="C11" s="18">
        <v>162186000</v>
      </c>
      <c r="D11" s="18">
        <v>152863000</v>
      </c>
      <c r="E11" s="18">
        <v>204310000</v>
      </c>
      <c r="F11" s="6" t="s">
        <v>102</v>
      </c>
    </row>
    <row r="12" spans="1:6" x14ac:dyDescent="0.25">
      <c r="A12" t="s">
        <v>34</v>
      </c>
      <c r="B12" s="34">
        <v>157009000</v>
      </c>
      <c r="C12" s="34">
        <v>159717000</v>
      </c>
      <c r="D12" s="34">
        <v>160774000</v>
      </c>
      <c r="E12" s="34">
        <v>161855000</v>
      </c>
      <c r="F12" s="6" t="s">
        <v>103</v>
      </c>
    </row>
    <row r="15" spans="1:1" x14ac:dyDescent="0.25">
      <c r="A15" s="19" t="s">
        <v>104</v>
      </c>
    </row>
    <row r="16" ht="70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