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<sst xmlns="http://schemas.openxmlformats.org/spreadsheetml/2006/main" count="113" uniqueCount="101">
  <si>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Bio-Techne Corporation (TECH)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</si>
  <si>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</si>
  <si>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</si>
  <si>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</si>
  <si>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</si>
  <si>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</si>
  <si>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</si>
  <si>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</si>
  <si>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</si>
  <si>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</si>
  <si>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</si>
  <si>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</si>
  <si>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</si>
  <si>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</si>
  <si>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</si>
  <si>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</si>
  <si>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</si>
  <si>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</si>
  <si>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</si>
  <si>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</si>
  <si>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</si>
  <si>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</si>
  <si>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</si>
  <si>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</si>
  <si>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</si>
  <si>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</si>
  <si>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</si>
  <si>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</si>
  <si>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</si>
  <si>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</si>
  <si>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2026-06-30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</si>
  <si>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</si>
  <si>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</si>
  <si>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</si>
  <si>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</si>
  <si>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</si>
  <si>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</si>
  <si>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</si>
  <si>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</si>
  <si>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</si>
  <si>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</si>
  <si>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</si>
  <si>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</si>
  <si>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</si>
  <si>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</si>
  <si>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</si>
  <si>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</si>
  <si>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</si>
  <si>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</si>
  <si>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</si>
  <si>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</si>
  <si>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</si>
  <si>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</si>
  <si>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</si>
  <si>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</si>
  <si>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</si>
  <si>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</si>
  <si>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</si>
  <si>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</si>
  <si>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</si>
  <si>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</si>
  <si>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</si>
  <si>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</si>
  <si>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</si>
  <si>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</si>
  <si>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</si>
  <si>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</si>
  <si>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</si>
  <si>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</si>
  <si>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</si>
  <si>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</si>
  <si>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</si>
  <si>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</si>
  <si>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</si>
  <si>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</si>
  <si>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</si>
  <si>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</si>
  <si>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</si>
  <si>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</si>
  <si>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</si>
  <si>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</si>
  <si>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</si>
  <si>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</si>
  <si>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</si>
  <si>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</si>
  <si>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</si>
  <si>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</si>
  <si>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</si>
  <si>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</si>
  <si>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</si>
  <si>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</si>
  <si>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</si>
  <si>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</si>
  <si>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</si>
  <si>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</si>
  <si>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</si>
  <si>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</si>
  <si>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</si>
  <si>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3.43% of revenue against depreciation and amortisation of 9.02%. A business cannot depreciate more than it invests indefinitely. Capex has been set to 9.02%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</si>
  <si>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Current EV/EBITDA of 30.7x sits outside a defensible 3-20x band, so the exit multiple is capped at 20.0x. A multiple that far out usually means EBITDA is the wrong denominator for this business.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</si>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</sst>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0.02246362045511785</v>
      </c>
    </row>
    <row r="7" spans="1:2" x14ac:dyDescent="0.25">
      <c r="A7" t="s">
        <v>5</v>
      </c>
      <c r="B7" s="6">
        <v>0.22300804026425475</v>
      </c>
    </row>
    <row r="8" spans="1:2" x14ac:dyDescent="0.25">
      <c r="A8" t="s">
        <v>6</v>
      </c>
      <c r="B8" s="6">
        <v>0.2007614755087549</v>
      </c>
    </row>
    <row r="9" spans="1:2" x14ac:dyDescent="0.25">
      <c r="A9" t="s">
        <v>7</v>
      </c>
      <c r="B9" s="6">
        <v>0.09024042867010161</v>
      </c>
    </row>
    <row r="10" spans="1:2" x14ac:dyDescent="0.25">
      <c r="A10" t="s">
        <v>8</v>
      </c>
      <c r="B10" s="6">
        <v>0.09024042867010161</v>
      </c>
    </row>
    <row r="11" spans="1:2" x14ac:dyDescent="0.25">
      <c r="A11" t="s">
        <v>9</v>
      </c>
      <c r="B11" s="6">
        <v>-0.190491126702435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0.11324659138082244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1.18425</v>
      </c>
      <c r="C19" s="8" t="s">
        <v>19</v>
      </c>
    </row>
    <row r="20" spans="1:2" x14ac:dyDescent="0.25">
      <c r="A20" t="s">
        <v>20</v>
      </c>
      <c r="B20" s="10">
        <f>B17+B19*B18</f>
        <v>0.11511375000000001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11348936704</v>
      </c>
    </row>
    <row r="23" spans="1:2" x14ac:dyDescent="0.25">
      <c r="A23" t="s">
        <v>24</v>
      </c>
      <c r="B23" s="11">
        <v>289087000</v>
      </c>
    </row>
    <row r="24" spans="1:2" x14ac:dyDescent="0.25">
      <c r="A24" t="s">
        <v>25</v>
      </c>
      <c r="B24" s="10">
        <f>B22/(B22+B23)</f>
        <v>0.9751601296446372</v>
      </c>
    </row>
    <row r="25" spans="1:2" x14ac:dyDescent="0.25">
      <c r="A25" t="s">
        <v>26</v>
      </c>
      <c r="B25" s="10">
        <f>1-B24</f>
        <v>0.024839870355362836</v>
      </c>
    </row>
    <row r="26" spans="1:2" x14ac:dyDescent="0.25">
      <c r="A26" t="s">
        <v>27</v>
      </c>
      <c r="B26" s="12">
        <f>B24*B20+B25*B21*(1-B8)</f>
        <v>0.11324659138082244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1215039000</v>
      </c>
      <c r="C29" s="8" t="s">
        <v>30</v>
      </c>
    </row>
    <row r="30" spans="1:2" x14ac:dyDescent="0.25">
      <c r="A30" t="s">
        <v>31</v>
      </c>
      <c r="B30" s="11">
        <v>24375000</v>
      </c>
    </row>
    <row r="31" spans="1:2" x14ac:dyDescent="0.25">
      <c r="A31" t="s">
        <v>32</v>
      </c>
      <c r="B31" s="13">
        <v>157009000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0.02246362045511785</v>
      </c>
      <c r="C5" s="10">
        <f>Assumptions!B6</f>
        <v>0.02246362045511785</v>
      </c>
      <c r="D5" s="10">
        <f>Assumptions!B6</f>
        <v>0.02246362045511785</v>
      </c>
      <c r="E5" s="10">
        <f>Assumptions!B6</f>
        <v>0.02246362045511785</v>
      </c>
      <c r="F5" s="10">
        <f>Assumptions!B6</f>
        <v>0.02246362045511785</v>
      </c>
    </row>
    <row r="6" spans="1:6" x14ac:dyDescent="0.25">
      <c r="A6" t="s">
        <v>43</v>
      </c>
      <c r="B6" s="18">
        <f>Assumptions!B29*(1+B5)</f>
        <v>1242333174.934166</v>
      </c>
      <c r="C6" s="18">
        <f>B6*(1+C5)</f>
        <v>1270240475.8546886</v>
      </c>
      <c r="D6" s="18">
        <f>C6*(1+D5)</f>
        <v>1298774675.7910166</v>
      </c>
      <c r="E6" s="18">
        <f>D6*(1+E5)</f>
        <v>1327949857.1647048</v>
      </c>
      <c r="F6" s="18">
        <f>E6*(1+F5)</f>
        <v>1357780418.7394807</v>
      </c>
    </row>
    <row r="7" spans="1:6" x14ac:dyDescent="0.25">
      <c r="A7" t="s">
        <v>5</v>
      </c>
      <c r="B7" s="10">
        <f>Assumptions!B7</f>
        <v>0.22300804026425475</v>
      </c>
      <c r="C7" s="10">
        <f>Assumptions!B7</f>
        <v>0.22300804026425475</v>
      </c>
      <c r="D7" s="10">
        <f>Assumptions!B7</f>
        <v>0.22300804026425475</v>
      </c>
      <c r="E7" s="10">
        <f>Assumptions!B7</f>
        <v>0.22300804026425475</v>
      </c>
      <c r="F7" s="10">
        <f>Assumptions!B7</f>
        <v>0.22300804026425475</v>
      </c>
    </row>
    <row r="8" spans="1:6" x14ac:dyDescent="0.25">
      <c r="A8" t="s">
        <v>44</v>
      </c>
      <c r="B8" s="18">
        <f>B6*B7</f>
        <v>277050286.6973379</v>
      </c>
      <c r="C8" s="18">
        <f>C6*C7</f>
        <v>283273839.1846885</v>
      </c>
      <c r="D8" s="18">
        <f>D6*D7</f>
        <v>289637195.19299746</v>
      </c>
      <c r="E8" s="18">
        <f>E6*E7</f>
        <v>296143495.21549785</v>
      </c>
      <c r="F8" s="18">
        <f>F6*F7</f>
        <v>302795950.2922708</v>
      </c>
    </row>
    <row r="9" spans="1:6" x14ac:dyDescent="0.25">
      <c r="A9" t="s">
        <v>45</v>
      </c>
      <c r="B9" s="18">
        <f>B8*(1-Assumptions!B8)</f>
        <v>221429262.3498568</v>
      </c>
      <c r="C9" s="18">
        <f>C8*(1-Assumptions!B8)</f>
        <v>226403365.2569407</v>
      </c>
      <c r="D9" s="18">
        <f>D8*(1-Assumptions!B8)</f>
        <v>231489204.52383405</v>
      </c>
      <c r="E9" s="18">
        <f>E8*(1-Assumptions!B8)</f>
        <v>236689290.1537146</v>
      </c>
      <c r="F9" s="18">
        <f>F8*(1-Assumptions!B8)</f>
        <v>242006188.53351888</v>
      </c>
    </row>
    <row r="10" spans="1:6" x14ac:dyDescent="0.25">
      <c r="A10" t="s">
        <v>46</v>
      </c>
      <c r="B10" s="18">
        <f>B6*Assumptions!B9</f>
        <v>112108678.25714748</v>
      </c>
      <c r="C10" s="18">
        <f>C6*Assumptions!B9</f>
        <v>114627045.05524096</v>
      </c>
      <c r="D10" s="18">
        <f>D6*Assumptions!B9</f>
        <v>117201983.48925358</v>
      </c>
      <c r="E10" s="18">
        <f>E6*Assumptions!B9</f>
        <v>119834764.36294317</v>
      </c>
      <c r="F10" s="18">
        <f>F6*Assumptions!B9</f>
        <v>122526687.02692081</v>
      </c>
    </row>
    <row r="11" spans="1:6" x14ac:dyDescent="0.25">
      <c r="A11" t="s">
        <v>47</v>
      </c>
      <c r="B11" s="18">
        <f>-B6*Assumptions!B10</f>
        <v>-112108678.25714748</v>
      </c>
      <c r="C11" s="18">
        <f>-C6*Assumptions!B10</f>
        <v>-114627045.05524096</v>
      </c>
      <c r="D11" s="18">
        <f>-D6*Assumptions!B10</f>
        <v>-117201983.48925358</v>
      </c>
      <c r="E11" s="18">
        <f>-E6*Assumptions!B10</f>
        <v>-119834764.36294317</v>
      </c>
      <c r="F11" s="18">
        <f>-F6*Assumptions!B10</f>
        <v>-122526687.02692081</v>
      </c>
    </row>
    <row r="12" spans="1:6" x14ac:dyDescent="0.25">
      <c r="A12" t="s">
        <v>48</v>
      </c>
      <c r="B12" s="18">
        <f>-(B6-Assumptions!B29)*Assumptions!B11</f>
        <v>5199298.135622633</v>
      </c>
      <c r="C12" s="18">
        <f>-(C6-B6)*Assumptions!B11</f>
        <v>5316093.195574269</v>
      </c>
      <c r="D12" s="18">
        <f>-(D6-C6)*Assumptions!B11</f>
        <v>5435511.895423657</v>
      </c>
      <c r="E12" s="18">
        <f>-(E6-D6)*Assumptions!B11</f>
        <v>5557613.171621765</v>
      </c>
      <c r="F12" s="18">
        <f>-(F6-E6)*Assumptions!B11</f>
        <v>5682457.284545432</v>
      </c>
    </row>
    <row r="13" spans="1:6" x14ac:dyDescent="0.25">
      <c r="A13" s="19" t="s">
        <v>49</v>
      </c>
      <c r="B13" s="20">
        <f>B9+B10+B11+B12</f>
        <v>226628560.4854794</v>
      </c>
      <c r="C13" s="20">
        <f>C9+C10+C11+C12</f>
        <v>231719458.45251495</v>
      </c>
      <c r="D13" s="20">
        <f>D9+D10+D11+D12</f>
        <v>236924716.4192577</v>
      </c>
      <c r="E13" s="20">
        <f>E9+E10+E11+E12</f>
        <v>242246903.32533637</v>
      </c>
      <c r="F13" s="20">
        <f>F9+F10+F11+F12</f>
        <v>247688645.81806433</v>
      </c>
    </row>
    <row r="14" spans="1:6" x14ac:dyDescent="0.25">
      <c r="A14" t="s">
        <v>50</v>
      </c>
      <c r="B14" s="21">
        <f>1/(1+Assumptions!$B$26)^(1-0.5*Assumptions!$B$32)</f>
        <v>0.9477729575407976</v>
      </c>
      <c r="C14" s="21">
        <f>1/(1+Assumptions!$B$26)^(2-0.5*Assumptions!$B$32)</f>
        <v>0.8513594066928347</v>
      </c>
      <c r="D14" s="21">
        <f>1/(1+Assumptions!$B$26)^(3-0.5*Assumptions!$B$32)</f>
        <v>0.7647536613041371</v>
      </c>
      <c r="E14" s="21">
        <f>1/(1+Assumptions!$B$26)^(4-0.5*Assumptions!$B$32)</f>
        <v>0.6869580084279172</v>
      </c>
      <c r="F14" s="21">
        <f>1/(1+Assumptions!$B$26)^(5-0.5*Assumptions!$B$32)</f>
        <v>0.6170762288846036</v>
      </c>
    </row>
    <row r="15" spans="1:6" x14ac:dyDescent="0.25">
      <c r="A15" s="19" t="s">
        <v>51</v>
      </c>
      <c r="B15" s="20">
        <f>B13*B14</f>
        <v>214792421.03453636</v>
      </c>
      <c r="C15" s="20">
        <f>C13*C14</f>
        <v>197276540.66731808</v>
      </c>
      <c r="D15" s="20">
        <f>D13*D14</f>
        <v>181189044.33507174</v>
      </c>
      <c r="E15" s="20">
        <f>E13*E14</f>
        <v>166413450.25620326</v>
      </c>
      <c r="F15" s="20">
        <f>F13*F14</f>
        <v>152842775.4989454</v>
      </c>
    </row>
    <row r="17" spans="1:2" x14ac:dyDescent="0.25">
      <c r="A17" s="22" t="s">
        <v>52</v>
      </c>
      <c r="B17" s="23">
        <f>SUM(B15:F15)</f>
        <v>912514231.7920749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247688645.81806433</v>
      </c>
    </row>
    <row r="5" spans="1:2" x14ac:dyDescent="0.25">
      <c r="A5" t="s">
        <v>56</v>
      </c>
      <c r="B5" s="18">
        <f>IF(Assumptions!$B$33=0,B4,B4-Forecast!F11-Forecast!F10-Forecast!F12)</f>
        <v>242006188.53351888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0.22075719626677953</v>
      </c>
    </row>
    <row r="7" spans="1:2" x14ac:dyDescent="0.25">
      <c r="A7" t="s">
        <v>58</v>
      </c>
      <c r="B7" s="18">
        <f>-MAX(Forecast!F9,0)*B6</f>
        <v>-53424607.659869276</v>
      </c>
    </row>
    <row r="8" spans="1:2" x14ac:dyDescent="0.25">
      <c r="A8" t="s">
        <v>59</v>
      </c>
      <c r="B8" s="18">
        <f>IF(OR(Assumptions!$B$33=0,Assumptions!B12&lt;=0),B5,MAX(B5+B7,0))</f>
        <v>188581580.8736496</v>
      </c>
    </row>
    <row r="9" spans="1:2" x14ac:dyDescent="0.25">
      <c r="A9" t="s">
        <v>60</v>
      </c>
      <c r="B9" s="18">
        <f>B8*(1+Assumptions!B12)/(Assumptions!B26-Assumptions!B12)</f>
        <v>2190408914.05464</v>
      </c>
    </row>
    <row r="10" spans="1:2" x14ac:dyDescent="0.25">
      <c r="A10" t="s">
        <v>61</v>
      </c>
      <c r="B10" s="18">
        <f>B9/(1+Assumptions!B26)^(5-0.5*Assumptions!B32)</f>
        <v>1351649272.4000568</v>
      </c>
    </row>
    <row r="11" spans="1:2" x14ac:dyDescent="0.25">
      <c r="A11" t="s">
        <v>62</v>
      </c>
      <c r="B11" s="18">
        <f>Forecast!B17+B10</f>
        <v>2264163504.192132</v>
      </c>
    </row>
    <row r="12" spans="1:2" x14ac:dyDescent="0.25">
      <c r="A12" t="s">
        <v>63</v>
      </c>
      <c r="B12" s="18">
        <f>-Assumptions!B30</f>
        <v>-24375000</v>
      </c>
    </row>
    <row r="13" spans="1:2" x14ac:dyDescent="0.25">
      <c r="A13" t="s">
        <v>64</v>
      </c>
      <c r="B13" s="18">
        <f>B11+B12</f>
        <v>2239788504.192132</v>
      </c>
    </row>
    <row r="14" spans="1:2" x14ac:dyDescent="0.25">
      <c r="A14" s="19" t="s">
        <v>65</v>
      </c>
      <c r="B14" s="24">
        <f>B13/Assumptions!B31</f>
        <v>14.265351057532575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425322637.3191916</v>
      </c>
    </row>
    <row r="18" spans="1:2" x14ac:dyDescent="0.25">
      <c r="A18" t="s">
        <v>60</v>
      </c>
      <c r="B18" s="18">
        <f>B17*Assumptions!B13</f>
        <v>8506452746.383831</v>
      </c>
    </row>
    <row r="19" spans="1:2" x14ac:dyDescent="0.25">
      <c r="A19" t="s">
        <v>61</v>
      </c>
      <c r="B19" s="18">
        <f>B18/(1+Assumptions!B26)^(5-0.5*Assumptions!B32)</f>
        <v>5249129781.923614</v>
      </c>
    </row>
    <row r="20" spans="1:2" x14ac:dyDescent="0.25">
      <c r="A20" t="s">
        <v>62</v>
      </c>
      <c r="B20" s="18">
        <f>Forecast!B17+B19</f>
        <v>6161644013.715689</v>
      </c>
    </row>
    <row r="21" spans="1:2" x14ac:dyDescent="0.25">
      <c r="A21" t="s">
        <v>63</v>
      </c>
      <c r="B21" s="18">
        <f>-Assumptions!B30</f>
        <v>-24375000</v>
      </c>
    </row>
    <row r="22" spans="1:2" x14ac:dyDescent="0.25">
      <c r="A22" t="s">
        <v>64</v>
      </c>
      <c r="B22" s="18">
        <f>B20+B21</f>
        <v>6137269013.715689</v>
      </c>
    </row>
    <row r="23" spans="1:2" x14ac:dyDescent="0.25">
      <c r="A23" s="19" t="s">
        <v>65</v>
      </c>
      <c r="B23" s="25">
        <f>B22/Assumptions!B31</f>
        <v>39.08864468734715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72.37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14.265351057532575</v>
      </c>
    </row>
    <row r="29" spans="1:2" x14ac:dyDescent="0.25">
      <c r="A29" s="19" t="s">
        <v>73</v>
      </c>
      <c r="B29" s="12">
        <f>B28/B26-1</f>
        <v>-0.8028830861194891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0.093247</v>
      </c>
      <c r="B5" s="31">
        <v>17.142510855279138</v>
      </c>
      <c r="C5" s="31">
        <v>17.19784646964664</v>
      </c>
      <c r="D5" s="31">
        <v>17.253182084014142</v>
      </c>
      <c r="E5" s="31">
        <v>17.308517698381653</v>
      </c>
      <c r="F5" s="31">
        <v>17.363853312749157</v>
      </c>
    </row>
    <row r="6" spans="1:6" x14ac:dyDescent="0.25">
      <c r="A6" s="30">
        <v>0.103247</v>
      </c>
      <c r="B6" s="31">
        <v>15.518443964308169</v>
      </c>
      <c r="C6" s="31">
        <v>15.566413673862504</v>
      </c>
      <c r="D6" s="31">
        <v>15.61438338341684</v>
      </c>
      <c r="E6" s="31">
        <v>15.662353092971173</v>
      </c>
      <c r="F6" s="31">
        <v>15.710322802525507</v>
      </c>
    </row>
    <row r="7" spans="1:6" x14ac:dyDescent="0.25">
      <c r="A7" s="30">
        <v>0.113247</v>
      </c>
      <c r="B7" s="31">
        <v>14.181313563235216</v>
      </c>
      <c r="C7" s="31">
        <v>14.223307184008222</v>
      </c>
      <c r="D7" s="32">
        <v>14.265300804781221</v>
      </c>
      <c r="E7" s="31">
        <v>14.307294425554224</v>
      </c>
      <c r="F7" s="31">
        <v>14.349288046327226</v>
      </c>
    </row>
    <row r="8" spans="1:6" x14ac:dyDescent="0.25">
      <c r="A8" s="30">
        <v>0.123247</v>
      </c>
      <c r="B8" s="31">
        <v>13.061265475017038</v>
      </c>
      <c r="C8" s="31">
        <v>13.09832986602716</v>
      </c>
      <c r="D8" s="31">
        <v>13.135394257037282</v>
      </c>
      <c r="E8" s="31">
        <v>13.172458648047407</v>
      </c>
      <c r="F8" s="31">
        <v>13.209523039057524</v>
      </c>
    </row>
    <row r="9" spans="1:6" x14ac:dyDescent="0.25">
      <c r="A9" s="30">
        <v>0.133247</v>
      </c>
      <c r="B9" s="31">
        <v>12.109415829304334</v>
      </c>
      <c r="C9" s="31">
        <v>12.142358127000968</v>
      </c>
      <c r="D9" s="31">
        <v>12.1753004246976</v>
      </c>
      <c r="E9" s="31">
        <v>12.208242722394234</v>
      </c>
      <c r="F9" s="31">
        <v>12.241185020090866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1215039000</v>
      </c>
      <c r="C5" s="18">
        <v>1219635000</v>
      </c>
      <c r="D5" s="18">
        <v>1159060000</v>
      </c>
      <c r="E5" s="18">
        <v>1136702000</v>
      </c>
      <c r="F5" s="8" t="s">
        <v>84</v>
      </c>
    </row>
    <row r="6" spans="1:6" x14ac:dyDescent="0.25">
      <c r="A6" t="s">
        <v>44</v>
      </c>
      <c r="B6" s="18">
        <v>272611000</v>
      </c>
      <c r="C6" s="18">
        <v>242804000</v>
      </c>
      <c r="D6" s="18">
        <v>246401000</v>
      </c>
      <c r="E6" s="18">
        <v>290998000</v>
      </c>
      <c r="F6" s="8" t="s">
        <v>85</v>
      </c>
    </row>
    <row r="7" spans="1:6" x14ac:dyDescent="0.25">
      <c r="A7" t="s">
        <v>86</v>
      </c>
      <c r="B7" s="18">
        <v>97359000</v>
      </c>
      <c r="C7" s="18">
        <v>109903000</v>
      </c>
      <c r="D7" s="18">
        <v>111711000</v>
      </c>
      <c r="E7" s="18">
        <v>107238000</v>
      </c>
      <c r="F7" s="8" t="s">
        <v>87</v>
      </c>
    </row>
    <row r="8" spans="1:6" x14ac:dyDescent="0.25">
      <c r="A8" t="s">
        <v>88</v>
      </c>
      <c r="B8" s="18">
        <v>28850000</v>
      </c>
      <c r="C8" s="18">
        <v>31006000</v>
      </c>
      <c r="D8" s="18">
        <v>62877000</v>
      </c>
      <c r="E8" s="18">
        <v>38244000</v>
      </c>
      <c r="F8" s="8" t="s">
        <v>89</v>
      </c>
    </row>
    <row r="9" spans="1:6" x14ac:dyDescent="0.25">
      <c r="A9" t="s">
        <v>90</v>
      </c>
      <c r="B9" s="18">
        <v>41303000</v>
      </c>
      <c r="C9" s="18">
        <v>-11539000</v>
      </c>
      <c r="D9" s="18">
        <v>10106000</v>
      </c>
      <c r="E9" s="18">
        <v>90577000</v>
      </c>
      <c r="F9" s="8" t="s">
        <v>91</v>
      </c>
    </row>
    <row r="10" spans="1:6" x14ac:dyDescent="0.25">
      <c r="A10" t="s">
        <v>92</v>
      </c>
      <c r="B10" s="18">
        <v>289087000</v>
      </c>
      <c r="C10" s="18">
        <v>444058000</v>
      </c>
      <c r="D10" s="18">
        <v>419538000</v>
      </c>
      <c r="E10" s="18">
        <v>454965000</v>
      </c>
      <c r="F10" s="8" t="s">
        <v>93</v>
      </c>
    </row>
    <row r="11" spans="1:6" x14ac:dyDescent="0.25">
      <c r="A11" t="s">
        <v>94</v>
      </c>
      <c r="B11" s="18">
        <v>264712000</v>
      </c>
      <c r="C11" s="18">
        <v>162186000</v>
      </c>
      <c r="D11" s="18">
        <v>152863000</v>
      </c>
      <c r="E11" s="18">
        <v>204310000</v>
      </c>
      <c r="F11" s="8" t="s">
        <v>95</v>
      </c>
    </row>
    <row r="12" spans="1:6" x14ac:dyDescent="0.25">
      <c r="A12" t="s">
        <v>32</v>
      </c>
      <c r="B12" s="34">
        <v>157009000</v>
      </c>
      <c r="C12" s="34">
        <v>159717000</v>
      </c>
      <c r="D12" s="34">
        <v>160774000</v>
      </c>
      <c r="E12" s="34">
        <v>161855000</v>
      </c>
      <c r="F12" s="8" t="s">
        <v>96</v>
      </c>
    </row>
    <row r="15" spans="1:1" x14ac:dyDescent="0.25">
      <c r="A15" s="19" t="s">
        <v>97</v>
      </c>
    </row>
    <row r="16" ht="70" customHeight="1" spans="1:6" x14ac:dyDescent="0.25">
      <c r="A16" s="35" t="s">
        <v>98</v>
      </c>
      <c r="B16" s="35"/>
      <c r="C16" s="35"/>
      <c r="D16" s="35"/>
      <c r="E16" s="35"/>
      <c r="F16" s="35"/>
    </row>
    <row r="17" ht="38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2026-09-19T01:04:19Z</dcterms:modified>
</cp:coreProperties>
</file>