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<sst xmlns="http://schemas.openxmlformats.org/spreadsheetml/2006/main" count="114" uniqueCount="102">
  <si>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Teck Resources Limited (TECK-B.TO)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</si>
  <si>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</si>
  <si>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</si>
  <si>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</si>
  <si>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</si>
  <si>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</si>
  <si>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</si>
  <si>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</si>
  <si>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</si>
  <si>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</si>
  <si>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</si>
  <si>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</si>
  <si>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</si>
  <si>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</si>
  <si>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</si>
  <si>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</si>
  <si>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</si>
  <si>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</si>
  <si>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</si>
  <si>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</si>
  <si>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</si>
  <si>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</si>
  <si>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</si>
  <si>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</si>
  <si>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</si>
  <si>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</si>
  <si>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</si>
  <si>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</si>
  <si>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</si>
  <si>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</si>
  <si>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</si>
  <si>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</si>
  <si>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</si>
  <si>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</si>
  <si>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</si>
  <si>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</si>
  <si>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</si>
  <si>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</si>
  <si>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</si>
  <si>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</si>
  <si>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</si>
  <si>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</si>
  <si>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</si>
  <si>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</si>
  <si>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</si>
  <si>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</si>
  <si>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</si>
  <si>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</si>
  <si>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</si>
  <si>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</si>
  <si>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</si>
  <si>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</si>
  <si>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</si>
  <si>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</si>
  <si>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</si>
  <si>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</si>
  <si>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</si>
  <si>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</si>
  <si>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</si>
  <si>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</si>
  <si>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</si>
  <si>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</si>
  <si>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</si>
  <si>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</si>
  <si>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</si>
  <si>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</si>
  <si>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</si>
  <si>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</si>
  <si>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</si>
  <si>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</si>
  <si>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</si>
  <si>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</si>
  <si>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</si>
  <si>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</si>
  <si>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</si>
  <si>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</si>
  <si>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</si>
  <si>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</si>
  <si>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</si>
  <si>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</si>
  <si>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</si>
  <si>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</si>
  <si>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</si>
  <si>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</si>
  <si>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</si>
  <si>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</si>
  <si>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</si>
  <si>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</si>
  <si>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</si>
  <si>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</si>
  <si>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</si>
  <si>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</si>
  <si>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</si>
  <si>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</si>
  <si>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</si>
  <si>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</si>
  <si>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</si>
  <si>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</si>
  <si>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</si>
  <si>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36.7% of revenue against depreciation of 14.8%.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</si>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</sst>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-0.14676681386141333</v>
      </c>
    </row>
    <row r="7" spans="1:2" x14ac:dyDescent="0.25">
      <c r="A7" t="s">
        <v>5</v>
      </c>
      <c r="B7" s="6">
        <v>0.16241672601724963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0.1483155038980016</v>
      </c>
    </row>
    <row r="10" spans="1:2" x14ac:dyDescent="0.25">
      <c r="A10" t="s">
        <v>8</v>
      </c>
      <c r="B10" s="6">
        <v>0.36703905575215034</v>
      </c>
    </row>
    <row r="11" spans="1:2" x14ac:dyDescent="0.25">
      <c r="A11" t="s">
        <v>9</v>
      </c>
      <c r="B11" s="6">
        <v>0.10660486674391657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15.038828840764332</v>
      </c>
    </row>
    <row r="14" spans="1:3" x14ac:dyDescent="0.25">
      <c r="A14" t="s">
        <v>12</v>
      </c>
      <c r="B14" s="6">
        <v>0.10043361752046806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1.40401</v>
      </c>
      <c r="C19" s="8" t="s">
        <v>19</v>
      </c>
    </row>
    <row r="20" spans="1:2" x14ac:dyDescent="0.25">
      <c r="A20" t="s">
        <v>20</v>
      </c>
      <c r="B20" s="10">
        <f>B17+B19*B18</f>
        <v>0.11022055</v>
      </c>
    </row>
    <row r="21" spans="1:3" x14ac:dyDescent="0.25">
      <c r="A21" t="s">
        <v>21</v>
      </c>
      <c r="B21" s="6">
        <v>0.07428980175761292</v>
      </c>
      <c r="C21" s="8" t="s">
        <v>22</v>
      </c>
    </row>
    <row r="22" spans="1:2" x14ac:dyDescent="0.25">
      <c r="A22" t="s">
        <v>23</v>
      </c>
      <c r="B22" s="11">
        <v>44988018688</v>
      </c>
    </row>
    <row r="23" spans="1:2" x14ac:dyDescent="0.25">
      <c r="A23" t="s">
        <v>24</v>
      </c>
      <c r="B23" s="11">
        <v>9607000000</v>
      </c>
    </row>
    <row r="24" spans="1:2" x14ac:dyDescent="0.25">
      <c r="A24" t="s">
        <v>25</v>
      </c>
      <c r="B24" s="10">
        <f>B22/(B22+B23)</f>
        <v>0.8240315649509683</v>
      </c>
    </row>
    <row r="25" spans="1:2" x14ac:dyDescent="0.25">
      <c r="A25" t="s">
        <v>26</v>
      </c>
      <c r="B25" s="10">
        <f>1-B24</f>
        <v>0.1759684350490317</v>
      </c>
    </row>
    <row r="26" spans="1:2" x14ac:dyDescent="0.25">
      <c r="A26" t="s">
        <v>27</v>
      </c>
      <c r="B26" s="12">
        <f>B24*B20+B25*B21*(1-B8)</f>
        <v>0.10043361752046806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10756000000</v>
      </c>
      <c r="C29" s="8" t="s">
        <v>30</v>
      </c>
    </row>
    <row r="30" spans="1:2" x14ac:dyDescent="0.25">
      <c r="A30" t="s">
        <v>31</v>
      </c>
      <c r="B30" s="11">
        <v>4595000000</v>
      </c>
    </row>
    <row r="31" spans="1:2" x14ac:dyDescent="0.25">
      <c r="A31" t="s">
        <v>32</v>
      </c>
      <c r="B31" s="13">
        <v>495400000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-0.14676681386141333</v>
      </c>
      <c r="C5" s="10">
        <f>Assumptions!B6</f>
        <v>-0.14676681386141333</v>
      </c>
      <c r="D5" s="10">
        <f>Assumptions!B6</f>
        <v>-0.14676681386141333</v>
      </c>
      <c r="E5" s="10">
        <f>Assumptions!B6</f>
        <v>-0.14676681386141333</v>
      </c>
      <c r="F5" s="10">
        <f>Assumptions!B6</f>
        <v>-0.14676681386141333</v>
      </c>
    </row>
    <row r="6" spans="1:6" x14ac:dyDescent="0.25">
      <c r="A6" t="s">
        <v>43</v>
      </c>
      <c r="B6" s="18">
        <f>Assumptions!B29*(1+B5)</f>
        <v>9177376150.106638</v>
      </c>
      <c r="C6" s="18">
        <f>B6*(1+C5)</f>
        <v>7830441892.947763</v>
      </c>
      <c r="D6" s="18">
        <f>C6*(1+D5)</f>
        <v>6681192885.192886</v>
      </c>
      <c r="E6" s="18">
        <f>D6*(1+E5)</f>
        <v>5700615492.639583</v>
      </c>
      <c r="F6" s="18">
        <f>E6*(1+F5)</f>
        <v>4863954319.73586</v>
      </c>
    </row>
    <row r="7" spans="1:6" x14ac:dyDescent="0.25">
      <c r="A7" t="s">
        <v>5</v>
      </c>
      <c r="B7" s="10">
        <f>Assumptions!B7</f>
        <v>0.16241672601724963</v>
      </c>
      <c r="C7" s="10">
        <f>Assumptions!B7</f>
        <v>0.16241672601724963</v>
      </c>
      <c r="D7" s="10">
        <f>Assumptions!B7</f>
        <v>0.16241672601724963</v>
      </c>
      <c r="E7" s="10">
        <f>Assumptions!B7</f>
        <v>0.16241672601724963</v>
      </c>
      <c r="F7" s="10">
        <f>Assumptions!B7</f>
        <v>0.16241672601724963</v>
      </c>
    </row>
    <row r="8" spans="1:6" x14ac:dyDescent="0.25">
      <c r="A8" t="s">
        <v>44</v>
      </c>
      <c r="B8" s="18">
        <f>B6*B7</f>
        <v>1490559387.729111</v>
      </c>
      <c r="C8" s="18">
        <f>C6*C7</f>
        <v>1271794735.5208905</v>
      </c>
      <c r="D8" s="18">
        <f>D6*D7</f>
        <v>1085137474.3027706</v>
      </c>
      <c r="E8" s="18">
        <f>E6*E7</f>
        <v>925875304.5977316</v>
      </c>
      <c r="F8" s="18">
        <f>F6*F7</f>
        <v>789987536.1089569</v>
      </c>
    </row>
    <row r="9" spans="1:6" x14ac:dyDescent="0.25">
      <c r="A9" t="s">
        <v>45</v>
      </c>
      <c r="B9" s="18">
        <f>B8*(1-Assumptions!B8)</f>
        <v>1095561149.9808965</v>
      </c>
      <c r="C9" s="18">
        <f>C8*(1-Assumptions!B8)</f>
        <v>934769130.6078545</v>
      </c>
      <c r="D9" s="18">
        <f>D8*(1-Assumptions!B8)</f>
        <v>797576043.6125364</v>
      </c>
      <c r="E9" s="18">
        <f>E8*(1-Assumptions!B8)</f>
        <v>680518348.8793327</v>
      </c>
      <c r="F9" s="18">
        <f>F8*(1-Assumptions!B8)</f>
        <v>580640839.0400833</v>
      </c>
    </row>
    <row r="10" spans="1:6" x14ac:dyDescent="0.25">
      <c r="A10" t="s">
        <v>46</v>
      </c>
      <c r="B10" s="18">
        <f>B6*Assumptions!B9</f>
        <v>1361147168.164568</v>
      </c>
      <c r="C10" s="18">
        <f>C6*Assumptions!B9</f>
        <v>1161375935.096569</v>
      </c>
      <c r="D10" s="18">
        <f>D6*Assumptions!B9</f>
        <v>990924489.4071261</v>
      </c>
      <c r="E10" s="18">
        <f>E6*Assumptions!B9</f>
        <v>845489659.3195944</v>
      </c>
      <c r="F10" s="18">
        <f>F6*Assumptions!B9</f>
        <v>721399835.8684857</v>
      </c>
    </row>
    <row r="11" spans="1:6" x14ac:dyDescent="0.25">
      <c r="A11" t="s">
        <v>47</v>
      </c>
      <c r="B11" s="18">
        <f>-B6*Assumptions!B10</f>
        <v>-3368455476.417445</v>
      </c>
      <c r="C11" s="18">
        <f>-C6*Assumptions!B10</f>
        <v>-2874077998.509628</v>
      </c>
      <c r="D11" s="18">
        <f>-D6*Assumptions!B10</f>
        <v>-2452258727.879182</v>
      </c>
      <c r="E11" s="18">
        <f>-E6*Assumptions!B10</f>
        <v>-2092348527.6245117</v>
      </c>
      <c r="F11" s="18">
        <f>-F6*Assumptions!B10</f>
        <v>-1785261200.7374427</v>
      </c>
    </row>
    <row r="12" spans="1:6" x14ac:dyDescent="0.25">
      <c r="A12" t="s">
        <v>48</v>
      </c>
      <c r="B12" s="18">
        <f>-(B6-Assumptions!B29)*Assumptions!B11</f>
        <v>168288985.15665042</v>
      </c>
      <c r="C12" s="18">
        <f>-(C6-B6)*Assumptions!B11</f>
        <v>143589746.99723807</v>
      </c>
      <c r="D12" s="18">
        <f>-(D6-C6)*Assumptions!B11</f>
        <v>122515537.32728702</v>
      </c>
      <c r="E12" s="18">
        <f>-(E6-D6)*Assumptions!B11</f>
        <v>104534322.26524211</v>
      </c>
      <c r="F12" s="18">
        <f>-(F6-E6)*Assumptions!B11</f>
        <v>89192152.8472103</v>
      </c>
    </row>
    <row r="13" spans="1:6" x14ac:dyDescent="0.25">
      <c r="A13" s="19" t="s">
        <v>49</v>
      </c>
      <c r="B13" s="20">
        <f>B9+B10+B11+B12</f>
        <v>-743458173.1153303</v>
      </c>
      <c r="C13" s="20">
        <f>C9+C10+C11+C12</f>
        <v>-634343185.8079664</v>
      </c>
      <c r="D13" s="20">
        <f>D9+D10+D11+D12</f>
        <v>-541242657.5322325</v>
      </c>
      <c r="E13" s="20">
        <f>E9+E10+E11+E12</f>
        <v>-461806197.1603427</v>
      </c>
      <c r="F13" s="20">
        <f>F9+F10+F11+F12</f>
        <v>-394028372.9816636</v>
      </c>
    </row>
    <row r="14" spans="1:6" x14ac:dyDescent="0.25">
      <c r="A14" t="s">
        <v>50</v>
      </c>
      <c r="B14" s="21">
        <f>1/(1+Assumptions!$B$26)^(1-0.5*Assumptions!$B$32)</f>
        <v>0.9532747183857393</v>
      </c>
      <c r="C14" s="21">
        <f>1/(1+Assumptions!$B$26)^(2-0.5*Assumptions!$B$32)</f>
        <v>0.8662718979211924</v>
      </c>
      <c r="D14" s="21">
        <f>1/(1+Assumptions!$B$26)^(3-0.5*Assumptions!$B$32)</f>
        <v>0.7872095909547944</v>
      </c>
      <c r="E14" s="21">
        <f>1/(1+Assumptions!$B$26)^(4-0.5*Assumptions!$B$32)</f>
        <v>0.7153630881693346</v>
      </c>
      <c r="F14" s="21">
        <f>1/(1+Assumptions!$B$26)^(5-0.5*Assumptions!$B$32)</f>
        <v>0.6500738225184481</v>
      </c>
    </row>
    <row r="15" spans="1:6" x14ac:dyDescent="0.25">
      <c r="A15" s="19" t="s">
        <v>51</v>
      </c>
      <c r="B15" s="20">
        <f>B13*B14</f>
        <v>-708719880.6080928</v>
      </c>
      <c r="C15" s="20">
        <f>C13*C14</f>
        <v>-549513675.5032426</v>
      </c>
      <c r="D15" s="20">
        <f>D13*D14</f>
        <v>-426071411.04323465</v>
      </c>
      <c r="E15" s="20">
        <f>E13*E14</f>
        <v>-330359107.3363593</v>
      </c>
      <c r="F15" s="20">
        <f>F13*F14</f>
        <v>-256147530.60491487</v>
      </c>
    </row>
    <row r="17" spans="1:2" x14ac:dyDescent="0.25">
      <c r="A17" s="22" t="s">
        <v>52</v>
      </c>
      <c r="B17" s="23">
        <f>SUM(B15:F15)</f>
        <v>-2270811605.095844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-394028372.9816636</v>
      </c>
    </row>
    <row r="5" spans="1:2" x14ac:dyDescent="0.25">
      <c r="A5" t="s">
        <v>56</v>
      </c>
      <c r="B5" s="18">
        <f>IF(Assumptions!$B$33=0,B4,B4-Forecast!F11-Forecast!F10-Forecast!F12)</f>
        <v>580640839.0400833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0.24892063650804053</v>
      </c>
    </row>
    <row r="7" spans="1:2" x14ac:dyDescent="0.25">
      <c r="A7" t="s">
        <v>58</v>
      </c>
      <c r="B7" s="18">
        <f>-MAX(Forecast!F9,0)*B6</f>
        <v>-144533487.23642024</v>
      </c>
    </row>
    <row r="8" spans="1:2" x14ac:dyDescent="0.25">
      <c r="A8" t="s">
        <v>59</v>
      </c>
      <c r="B8" s="18">
        <f>IF(OR(Assumptions!$B$33=0,Assumptions!B12&lt;=0),B5,MAX(B5+B7,0))</f>
        <v>436107351.803663</v>
      </c>
    </row>
    <row r="9" spans="1:2" x14ac:dyDescent="0.25">
      <c r="A9" t="s">
        <v>60</v>
      </c>
      <c r="B9" s="18">
        <f>B8*(1+Assumptions!B12)/(Assumptions!B26-Assumptions!B12)</f>
        <v>5925872976.693228</v>
      </c>
    </row>
    <row r="10" spans="1:2" x14ac:dyDescent="0.25">
      <c r="A10" t="s">
        <v>61</v>
      </c>
      <c r="B10" s="18">
        <f>B9/(1+Assumptions!B26)^(5-0.5*Assumptions!B32)</f>
        <v>3852254897.7177415</v>
      </c>
    </row>
    <row r="11" spans="1:2" x14ac:dyDescent="0.25">
      <c r="A11" t="s">
        <v>62</v>
      </c>
      <c r="B11" s="18">
        <f>Forecast!B17+B10</f>
        <v>1581443292.6218977</v>
      </c>
    </row>
    <row r="12" spans="1:2" x14ac:dyDescent="0.25">
      <c r="A12" t="s">
        <v>63</v>
      </c>
      <c r="B12" s="18">
        <f>-Assumptions!B30</f>
        <v>-4595000000</v>
      </c>
    </row>
    <row r="13" spans="1:2" x14ac:dyDescent="0.25">
      <c r="A13" t="s">
        <v>64</v>
      </c>
      <c r="B13" s="18">
        <f>B11+B12</f>
        <v>-3013556707.3781023</v>
      </c>
    </row>
    <row r="14" spans="1:2" x14ac:dyDescent="0.25">
      <c r="A14" s="19" t="s">
        <v>65</v>
      </c>
      <c r="B14" s="24">
        <f>B13/Assumptions!B31</f>
        <v>-6.083077729871018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1511387371.9774427</v>
      </c>
    </row>
    <row r="18" spans="1:2" x14ac:dyDescent="0.25">
      <c r="A18" t="s">
        <v>60</v>
      </c>
      <c r="B18" s="18">
        <f>B17*Assumptions!B13</f>
        <v>22729495999.261375</v>
      </c>
    </row>
    <row r="19" spans="1:2" x14ac:dyDescent="0.25">
      <c r="A19" t="s">
        <v>61</v>
      </c>
      <c r="B19" s="18">
        <f>B18/(1+Assumptions!B26)^(5-0.5*Assumptions!B32)</f>
        <v>14775850348.157616</v>
      </c>
    </row>
    <row r="20" spans="1:2" x14ac:dyDescent="0.25">
      <c r="A20" t="s">
        <v>62</v>
      </c>
      <c r="B20" s="18">
        <f>Forecast!B17+B19</f>
        <v>12505038743.061771</v>
      </c>
    </row>
    <row r="21" spans="1:2" x14ac:dyDescent="0.25">
      <c r="A21" t="s">
        <v>63</v>
      </c>
      <c r="B21" s="18">
        <f>-Assumptions!B30</f>
        <v>-4595000000</v>
      </c>
    </row>
    <row r="22" spans="1:2" x14ac:dyDescent="0.25">
      <c r="A22" t="s">
        <v>64</v>
      </c>
      <c r="B22" s="18">
        <f>B20+B21</f>
        <v>7910038743.061771</v>
      </c>
    </row>
    <row r="23" spans="1:2" x14ac:dyDescent="0.25">
      <c r="A23" s="19" t="s">
        <v>65</v>
      </c>
      <c r="B23" s="25">
        <f>B22/Assumptions!B31</f>
        <v>15.966973643645078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91.7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-6.083077729871018</v>
      </c>
    </row>
    <row r="29" spans="1:2" x14ac:dyDescent="0.25">
      <c r="A29" s="19" t="s">
        <v>73</v>
      </c>
      <c r="B29" s="12">
        <f>B28/B26-1</f>
        <v>-1.066336725516587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0.080434</v>
      </c>
      <c r="B5" s="31">
        <v>-3.590250105268386</v>
      </c>
      <c r="C5" s="31">
        <v>-3.538811424412096</v>
      </c>
      <c r="D5" s="31">
        <v>-3.4873727435558055</v>
      </c>
      <c r="E5" s="31">
        <v>-3.435934062699515</v>
      </c>
      <c r="F5" s="31">
        <v>-3.3844953818432266</v>
      </c>
    </row>
    <row r="6" spans="1:6" x14ac:dyDescent="0.25">
      <c r="A6" s="30">
        <v>0.090434</v>
      </c>
      <c r="B6" s="31">
        <v>-5.033925157405188</v>
      </c>
      <c r="C6" s="31">
        <v>-4.990032425752542</v>
      </c>
      <c r="D6" s="31">
        <v>-4.946139694099899</v>
      </c>
      <c r="E6" s="31">
        <v>-4.902246962447256</v>
      </c>
      <c r="F6" s="31">
        <v>-4.858354230794611</v>
      </c>
    </row>
    <row r="7" spans="1:6" x14ac:dyDescent="0.25">
      <c r="A7" s="30">
        <v>0.100434</v>
      </c>
      <c r="B7" s="31">
        <v>-6.158979800720488</v>
      </c>
      <c r="C7" s="31">
        <v>-6.121048055965088</v>
      </c>
      <c r="D7" s="32">
        <v>-6.083116311209694</v>
      </c>
      <c r="E7" s="31">
        <v>-6.045184566454294</v>
      </c>
      <c r="F7" s="31">
        <v>-6.007252821698899</v>
      </c>
    </row>
    <row r="8" spans="1:6" x14ac:dyDescent="0.25">
      <c r="A8" s="30">
        <v>0.110434</v>
      </c>
      <c r="B8" s="31">
        <v>-7.053545264978744</v>
      </c>
      <c r="C8" s="31">
        <v>-7.020424420694535</v>
      </c>
      <c r="D8" s="31">
        <v>-6.98730357641033</v>
      </c>
      <c r="E8" s="31">
        <v>-6.954182732126121</v>
      </c>
      <c r="F8" s="31">
        <v>-6.921061887841914</v>
      </c>
    </row>
    <row r="9" spans="1:6" x14ac:dyDescent="0.25">
      <c r="A9" s="30">
        <v>0.120434</v>
      </c>
      <c r="B9" s="31">
        <v>-7.77638793114264</v>
      </c>
      <c r="C9" s="31">
        <v>-7.747218079972908</v>
      </c>
      <c r="D9" s="31">
        <v>-7.718048228803177</v>
      </c>
      <c r="E9" s="31">
        <v>-7.688878377633445</v>
      </c>
      <c r="F9" s="31">
        <v>-7.659708526463715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10756000000</v>
      </c>
      <c r="C5" s="18">
        <v>9065000000</v>
      </c>
      <c r="D5" s="18">
        <v>6476000000</v>
      </c>
      <c r="E5" s="18">
        <v>17316000000</v>
      </c>
      <c r="F5" s="8" t="s">
        <v>84</v>
      </c>
    </row>
    <row r="6" spans="1:6" x14ac:dyDescent="0.25">
      <c r="A6" t="s">
        <v>44</v>
      </c>
      <c r="B6" s="18">
        <v>1540000000</v>
      </c>
      <c r="C6" s="18">
        <v>778000000</v>
      </c>
      <c r="D6" s="18">
        <v>36000000</v>
      </c>
      <c r="E6" s="18">
        <v>7188000000</v>
      </c>
      <c r="F6" s="8" t="s">
        <v>85</v>
      </c>
    </row>
    <row r="7" spans="1:6" x14ac:dyDescent="0.25">
      <c r="A7" t="s">
        <v>86</v>
      </c>
      <c r="B7" s="18">
        <v>1757000000</v>
      </c>
      <c r="C7" s="18">
        <v>1726000000</v>
      </c>
      <c r="D7" s="18">
        <v>925000000</v>
      </c>
      <c r="E7" s="18">
        <v>1674000000</v>
      </c>
      <c r="F7" s="8" t="s">
        <v>87</v>
      </c>
    </row>
    <row r="8" spans="1:6" x14ac:dyDescent="0.25">
      <c r="A8" t="s">
        <v>88</v>
      </c>
      <c r="B8" s="18">
        <v>2062000000</v>
      </c>
      <c r="C8" s="18">
        <v>2635000000</v>
      </c>
      <c r="D8" s="18">
        <v>4340000000</v>
      </c>
      <c r="E8" s="18">
        <v>5465000000</v>
      </c>
      <c r="F8" s="8" t="s">
        <v>89</v>
      </c>
    </row>
    <row r="9" spans="1:6" x14ac:dyDescent="0.25">
      <c r="A9" t="s">
        <v>90</v>
      </c>
      <c r="B9" s="18">
        <v>978000000</v>
      </c>
      <c r="C9" s="18">
        <v>276000000</v>
      </c>
      <c r="D9" s="18">
        <v>543000000</v>
      </c>
      <c r="E9" s="18">
        <v>107000000</v>
      </c>
      <c r="F9" s="8" t="s">
        <v>91</v>
      </c>
    </row>
    <row r="10" spans="1:6" x14ac:dyDescent="0.25">
      <c r="A10" t="s">
        <v>92</v>
      </c>
      <c r="B10" s="18">
        <v>9607000000</v>
      </c>
      <c r="C10" s="18">
        <v>9965000000</v>
      </c>
      <c r="D10" s="18">
        <v>11092000000</v>
      </c>
      <c r="E10" s="18">
        <v>10017000000</v>
      </c>
      <c r="F10" s="8" t="s">
        <v>93</v>
      </c>
    </row>
    <row r="11" spans="1:6" x14ac:dyDescent="0.25">
      <c r="A11" t="s">
        <v>94</v>
      </c>
      <c r="B11" s="18">
        <v>5012000000</v>
      </c>
      <c r="C11" s="18">
        <v>7587000000</v>
      </c>
      <c r="D11" s="18">
        <v>744000000</v>
      </c>
      <c r="E11" s="18">
        <v>1883000000</v>
      </c>
      <c r="F11" s="8" t="s">
        <v>95</v>
      </c>
    </row>
    <row r="12" spans="1:6" x14ac:dyDescent="0.25">
      <c r="A12" t="s">
        <v>32</v>
      </c>
      <c r="B12" s="34">
        <v>495400000</v>
      </c>
      <c r="C12" s="34">
        <v>520000000</v>
      </c>
      <c r="D12" s="34">
        <v>525300000</v>
      </c>
      <c r="E12" s="34">
        <v>535900000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2026-09-19T00:07:52Z</dcterms:modified>
</cp:coreProperties>
</file>