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<sst xmlns="http://schemas.openxmlformats.org/spreadsheetml/2006/main" count="113" uniqueCount="101">
  <si>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Telefónica, S.A. (TEF.MC)</t>
  </si>
  <si>
    <t>DCF Studio - Base case</t>
  </si>
  <si>
    <t>Blue figures on a cream fill are inputs. Every other figure is a formula - change an input and the model reprices. Currency figures are EUR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</si>
  <si>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</si>
  <si>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</si>
  <si>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</si>
  <si>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</si>
  <si>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</si>
  <si>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</si>
  <si>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</si>
  <si>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</si>
  <si>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</si>
  <si>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</si>
  <si>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</si>
  <si>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</si>
  <si>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</si>
  <si>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</si>
  <si>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</si>
  <si>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</si>
  <si>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</si>
  <si>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</si>
  <si>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</si>
  <si>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</si>
  <si>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(EUR m)</t>
  </si>
  <si>
    <t>Total debt (EUR m)</t>
  </si>
  <si>
    <t>Equity weight</t>
  </si>
  <si>
    <t>Debt weight</t>
  </si>
  <si>
    <t>WACC</t>
  </si>
  <si>
    <t>Base year</t>
  </si>
  <si>
    <t>Revenue, last reported year (EUR m)</t>
  </si>
  <si>
    <t>Fiscal year ended 2025-12-31</t>
  </si>
  <si>
    <t>Net debt (EUR m)</t>
  </si>
  <si>
    <t>Diluted shares</t>
  </si>
  <si>
    <t>Mid-year discounting (1 = yes, 0 = no)</t>
  </si>
  <si>
    <t>Terminal year on a steady-state footing (1 = yes, 0 = no)</t>
  </si>
  <si>
    <t>Forecast cashflows (EUR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</si>
  <si>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</si>
  <si>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</si>
  <si>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</si>
  <si>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</si>
  <si>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</si>
  <si>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</si>
  <si>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</si>
  <si>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</si>
  <si>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</si>
  <si>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</si>
  <si>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</si>
  <si>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</si>
  <si>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</si>
  <si>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</si>
  <si>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</si>
  <si>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</si>
  <si>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</si>
  <si>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(EUR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</si>
  <si>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</si>
  <si>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</si>
  <si>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</si>
  <si>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</si>
  <si>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</si>
  <si>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</si>
  <si>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</si>
  <si>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</si>
  <si>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</si>
  <si>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</si>
  <si>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</si>
  <si>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</si>
  <si>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</si>
  <si>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</si>
  <si>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</si>
  <si>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(EUR)</t>
  </si>
  <si>
    <t>Conversion, EUR to EUR</t>
  </si>
  <si>
    <t>Same currency, no conversion</t>
  </si>
  <si>
    <t>Value per share (EUR)</t>
  </si>
  <si>
    <t>Implied upside</t>
  </si>
  <si>
    <t>Value per share (EUR)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</si>
  <si>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</si>
  <si>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(EUR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</si>
  <si>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</si>
  <si>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</si>
  <si>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</si>
  <si>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</si>
  <si>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</si>
  <si>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</si>
  <si>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</si>
  <si>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</si>
  <si>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</si>
  <si>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</si>
  <si>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reconciledDepreciation</t>
  </si>
  <si>
    <t>Capital expenditure</t>
  </si>
  <si>
    <t>capitalExpenditure</t>
  </si>
  <si>
    <t>Change in working capital</t>
  </si>
  <si>
    <t>derived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</si>
  <si>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</si>
  <si>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</si>
  <si>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</si>
  <si>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</si>
  <si>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</si>
  <si>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</si>
  <si>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Some line items were not reported and have been derived. Each one is labelled in the workings below.</t>
  </si>
  <si>
    <t>Note: Risk-free rate is an assumption: USD assumption - no free live source available for this market.</t>
  </si>
  <si>
    <t>Data: Yahoo Finance. Risk-free rate: USD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</si>
</sst>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-0.04238668793245404</v>
      </c>
    </row>
    <row r="7" spans="1:2" x14ac:dyDescent="0.25">
      <c r="A7" t="s">
        <v>5</v>
      </c>
      <c r="B7" s="6">
        <v>0.08715870434159745</v>
      </c>
    </row>
    <row r="8" spans="1:2" x14ac:dyDescent="0.25">
      <c r="A8" t="s">
        <v>6</v>
      </c>
      <c r="B8" s="6">
        <v>0.22743500307955697</v>
      </c>
    </row>
    <row r="9" spans="1:2" x14ac:dyDescent="0.25">
      <c r="A9" t="s">
        <v>7</v>
      </c>
      <c r="B9" s="6">
        <v>0.21485999202828177</v>
      </c>
    </row>
    <row r="10" spans="1:2" x14ac:dyDescent="0.25">
      <c r="A10" t="s">
        <v>8</v>
      </c>
      <c r="B10" s="6">
        <v>0.14756508704960702</v>
      </c>
    </row>
    <row r="11" spans="1:2" x14ac:dyDescent="0.25">
      <c r="A11" t="s">
        <v>9</v>
      </c>
      <c r="B11" s="6">
        <v>-0.8057663125948407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5.6434084188125135</v>
      </c>
    </row>
    <row r="14" spans="1:3" x14ac:dyDescent="0.25">
      <c r="A14" t="s">
        <v>12</v>
      </c>
      <c r="B14" s="6">
        <v>0.055213027606908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0.042</v>
      </c>
      <c r="C17" s="8" t="s">
        <v>16</v>
      </c>
    </row>
    <row r="18" spans="1:2" x14ac:dyDescent="0.25">
      <c r="A18" t="s">
        <v>17</v>
      </c>
      <c r="B18" s="6">
        <v>0.065</v>
      </c>
    </row>
    <row r="19" spans="1:3" x14ac:dyDescent="0.25">
      <c r="A19" t="s">
        <v>18</v>
      </c>
      <c r="B19" s="9">
        <v>0.5236299999999999</v>
      </c>
      <c r="C19" s="8" t="s">
        <v>19</v>
      </c>
    </row>
    <row r="20" spans="1:2" x14ac:dyDescent="0.25">
      <c r="A20" t="s">
        <v>20</v>
      </c>
      <c r="B20" s="10">
        <f>B17+B19*B18</f>
        <v>0.07603594999999999</v>
      </c>
    </row>
    <row r="21" spans="1:3" x14ac:dyDescent="0.25">
      <c r="A21" t="s">
        <v>21</v>
      </c>
      <c r="B21" s="6">
        <v>0.057798143467888606</v>
      </c>
      <c r="C21" s="8" t="s">
        <v>22</v>
      </c>
    </row>
    <row r="22" spans="1:2" x14ac:dyDescent="0.25">
      <c r="A22" t="s">
        <v>23</v>
      </c>
      <c r="B22" s="11">
        <v>20109752320</v>
      </c>
    </row>
    <row r="23" spans="1:2" x14ac:dyDescent="0.25">
      <c r="A23" t="s">
        <v>24</v>
      </c>
      <c r="B23" s="11">
        <v>39653000000</v>
      </c>
    </row>
    <row r="24" spans="1:2" x14ac:dyDescent="0.25">
      <c r="A24" t="s">
        <v>25</v>
      </c>
      <c r="B24" s="10">
        <f>B22/(B22+B23)</f>
        <v>0.3364930753577448</v>
      </c>
    </row>
    <row r="25" spans="1:2" x14ac:dyDescent="0.25">
      <c r="A25" t="s">
        <v>26</v>
      </c>
      <c r="B25" s="10">
        <f>1-B24</f>
        <v>0.6635069246422551</v>
      </c>
    </row>
    <row r="26" spans="1:2" x14ac:dyDescent="0.25">
      <c r="A26" t="s">
        <v>27</v>
      </c>
      <c r="B26" s="12">
        <f>B24*B20+B25*B21*(1-B8)</f>
        <v>0.055213027606908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35120000000</v>
      </c>
      <c r="C29" s="8" t="s">
        <v>30</v>
      </c>
    </row>
    <row r="30" spans="1:2" x14ac:dyDescent="0.25">
      <c r="A30" t="s">
        <v>31</v>
      </c>
      <c r="B30" s="11">
        <v>32927000000</v>
      </c>
    </row>
    <row r="31" spans="1:2" x14ac:dyDescent="0.25">
      <c r="A31" t="s">
        <v>32</v>
      </c>
      <c r="B31" s="13">
        <v>5652115000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-0.04238668793245404</v>
      </c>
      <c r="C5" s="10">
        <f>Assumptions!B6</f>
        <v>-0.04238668793245404</v>
      </c>
      <c r="D5" s="10">
        <f>Assumptions!B6</f>
        <v>-0.04238668793245404</v>
      </c>
      <c r="E5" s="10">
        <f>Assumptions!B6</f>
        <v>-0.04238668793245404</v>
      </c>
      <c r="F5" s="10">
        <f>Assumptions!B6</f>
        <v>-0.04238668793245404</v>
      </c>
    </row>
    <row r="6" spans="1:6" x14ac:dyDescent="0.25">
      <c r="A6" t="s">
        <v>43</v>
      </c>
      <c r="B6" s="18">
        <f>Assumptions!B29*(1+B5)</f>
        <v>33631379519.812214</v>
      </c>
      <c r="C6" s="18">
        <f>B6*(1+C5)</f>
        <v>32205856731.368008</v>
      </c>
      <c r="D6" s="18">
        <f>C6*(1+D5)</f>
        <v>30840757132.498188</v>
      </c>
      <c r="E6" s="18">
        <f>D6*(1+E5)</f>
        <v>29533519584.32238</v>
      </c>
      <c r="F6" s="18">
        <f>E6*(1+F5)</f>
        <v>28281691506.154686</v>
      </c>
    </row>
    <row r="7" spans="1:6" x14ac:dyDescent="0.25">
      <c r="A7" t="s">
        <v>5</v>
      </c>
      <c r="B7" s="10">
        <f>Assumptions!B7</f>
        <v>0.08715870434159745</v>
      </c>
      <c r="C7" s="10">
        <f>Assumptions!B7</f>
        <v>0.08715870434159745</v>
      </c>
      <c r="D7" s="10">
        <f>Assumptions!B7</f>
        <v>0.08715870434159745</v>
      </c>
      <c r="E7" s="10">
        <f>Assumptions!B7</f>
        <v>0.08715870434159745</v>
      </c>
      <c r="F7" s="10">
        <f>Assumptions!B7</f>
        <v>0.08715870434159745</v>
      </c>
    </row>
    <row r="8" spans="1:6" x14ac:dyDescent="0.25">
      <c r="A8" t="s">
        <v>44</v>
      </c>
      <c r="B8" s="18">
        <f>B6*B7</f>
        <v>2931267464.1673684</v>
      </c>
      <c r="C8" s="18">
        <f>C6*C7</f>
        <v>2807020744.91715</v>
      </c>
      <c r="D8" s="18">
        <f>D6*D7</f>
        <v>2688040432.5824223</v>
      </c>
      <c r="E8" s="18">
        <f>E6*E7</f>
        <v>2574103301.616732</v>
      </c>
      <c r="F8" s="18">
        <f>F6*F7</f>
        <v>2464995588.265204</v>
      </c>
    </row>
    <row r="9" spans="1:6" x14ac:dyDescent="0.25">
      <c r="A9" t="s">
        <v>45</v>
      </c>
      <c r="B9" s="18">
        <f>B8*(1-Assumptions!B8)</f>
        <v>2264594639.427458</v>
      </c>
      <c r="C9" s="18">
        <f>C8*(1-Assumptions!B8)</f>
        <v>2168605973.152538</v>
      </c>
      <c r="D9" s="18">
        <f>D8*(1-Assumptions!B8)</f>
        <v>2076685948.5200653</v>
      </c>
      <c r="E9" s="18">
        <f>E8*(1-Assumptions!B8)</f>
        <v>1988662109.2864327</v>
      </c>
      <c r="F9" s="18">
        <f>F8*(1-Assumptions!B8)</f>
        <v>1904369309.0570128</v>
      </c>
    </row>
    <row r="10" spans="1:6" x14ac:dyDescent="0.25">
      <c r="A10" t="s">
        <v>46</v>
      </c>
      <c r="B10" s="18">
        <f>B6*Assumptions!B9</f>
        <v>7226037935.526971</v>
      </c>
      <c r="C10" s="18">
        <f>C6*Assumptions!B9</f>
        <v>6919750120.565715</v>
      </c>
      <c r="D10" s="18">
        <f>D6*Assumptions!B9</f>
        <v>6626444831.634735</v>
      </c>
      <c r="E10" s="18">
        <f>E6*Assumptions!B9</f>
        <v>6345571782.45461</v>
      </c>
      <c r="F10" s="18">
        <f>F6*Assumptions!B9</f>
        <v>6076604011.55872</v>
      </c>
    </row>
    <row r="11" spans="1:6" x14ac:dyDescent="0.25">
      <c r="A11" t="s">
        <v>47</v>
      </c>
      <c r="B11" s="18">
        <f>-B6*Assumptions!B10</f>
        <v>-4962817446.43946</v>
      </c>
      <c r="C11" s="18">
        <f>-C6*Assumptions!B10</f>
        <v>-4752460052.071492</v>
      </c>
      <c r="D11" s="18">
        <f>-D6*Assumptions!B10</f>
        <v>-4551019010.932884</v>
      </c>
      <c r="E11" s="18">
        <f>-E6*Assumptions!B10</f>
        <v>-4358116388.341805</v>
      </c>
      <c r="F11" s="18">
        <f>-F6*Assumptions!B10</f>
        <v>-4173390269.0158477</v>
      </c>
    </row>
    <row r="12" spans="1:6" x14ac:dyDescent="0.25">
      <c r="A12" t="s">
        <v>48</v>
      </c>
      <c r="B12" s="18">
        <f>-(B6-Assumptions!B29)*Assumptions!B11</f>
        <v>-1199480235.1740735</v>
      </c>
      <c r="C12" s="18">
        <f>-(C6-B6)*Assumptions!B11</f>
        <v>-1148638240.7646031</v>
      </c>
      <c r="D12" s="18">
        <f>-(D6-C6)*Assumptions!B11</f>
        <v>-1099951270.1060307</v>
      </c>
      <c r="E12" s="18">
        <f>-(E6-D6)*Assumptions!B11</f>
        <v>-1053327978.8791411</v>
      </c>
      <c r="F12" s="18">
        <f>-(F6-E6)*Assumptions!B11</f>
        <v>-1008680894.5478688</v>
      </c>
    </row>
    <row r="13" spans="1:6" x14ac:dyDescent="0.25">
      <c r="A13" s="19" t="s">
        <v>49</v>
      </c>
      <c r="B13" s="20">
        <f>B9+B10+B11+B12</f>
        <v>3328334893.3408966</v>
      </c>
      <c r="C13" s="20">
        <f>C9+C10+C11+C12</f>
        <v>3187257800.882157</v>
      </c>
      <c r="D13" s="20">
        <f>D9+D10+D11+D12</f>
        <v>3052160499.1158857</v>
      </c>
      <c r="E13" s="20">
        <f>E9+E10+E11+E12</f>
        <v>2922789524.520097</v>
      </c>
      <c r="F13" s="20">
        <f>F9+F10+F11+F12</f>
        <v>2798902157.052016</v>
      </c>
    </row>
    <row r="14" spans="1:6" x14ac:dyDescent="0.25">
      <c r="A14" t="s">
        <v>50</v>
      </c>
      <c r="B14" s="21">
        <f>1/(1+Assumptions!$B$26)^(1-0.5*Assumptions!$B$32)</f>
        <v>0.9734864878616617</v>
      </c>
      <c r="C14" s="21">
        <f>1/(1+Assumptions!$B$26)^(2-0.5*Assumptions!$B$32)</f>
        <v>0.9225497244564995</v>
      </c>
      <c r="D14" s="21">
        <f>1/(1+Assumptions!$B$26)^(3-0.5*Assumptions!$B$32)</f>
        <v>0.8742781792115737</v>
      </c>
      <c r="E14" s="21">
        <f>1/(1+Assumptions!$B$26)^(4-0.5*Assumptions!$B$32)</f>
        <v>0.8285323970974162</v>
      </c>
      <c r="F14" s="21">
        <f>1/(1+Assumptions!$B$26)^(5-0.5*Assumptions!$B$32)</f>
        <v>0.7851802199376032</v>
      </c>
    </row>
    <row r="15" spans="1:6" x14ac:dyDescent="0.25">
      <c r="A15" s="19" t="s">
        <v>51</v>
      </c>
      <c r="B15" s="20">
        <f>B13*B14</f>
        <v>3240089045.7458477</v>
      </c>
      <c r="C15" s="20">
        <f>C13*C14</f>
        <v>2940403805.975662</v>
      </c>
      <c r="D15" s="20">
        <f>D13*D14</f>
        <v>2668437323.8285246</v>
      </c>
      <c r="E15" s="20">
        <f>E13*E14</f>
        <v>2421625810.961853</v>
      </c>
      <c r="F15" s="20">
        <f>F13*F14</f>
        <v>2197642611.2579336</v>
      </c>
    </row>
    <row r="17" spans="1:2" x14ac:dyDescent="0.25">
      <c r="A17" s="22" t="s">
        <v>52</v>
      </c>
      <c r="B17" s="23">
        <f>SUM(B15:F15)</f>
        <v>13468198597.769821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2798902157.052016</v>
      </c>
    </row>
    <row r="5" spans="1:2" x14ac:dyDescent="0.25">
      <c r="A5" t="s">
        <v>56</v>
      </c>
      <c r="B5" s="18">
        <f>IF(Assumptions!$B$33=0,B4,B4-Forecast!F11-Forecast!F10-Forecast!F12)</f>
        <v>1904369309.0570128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0.4527916885483765</v>
      </c>
    </row>
    <row r="7" spans="1:2" x14ac:dyDescent="0.25">
      <c r="A7" t="s">
        <v>58</v>
      </c>
      <c r="B7" s="18">
        <f>-MAX(Forecast!F9,0)*B6</f>
        <v>-862282595.0676298</v>
      </c>
    </row>
    <row r="8" spans="1:2" x14ac:dyDescent="0.25">
      <c r="A8" t="s">
        <v>59</v>
      </c>
      <c r="B8" s="18">
        <f>IF(OR(Assumptions!$B$33=0,Assumptions!B12&lt;=0),B5,MAX(B5+B7,0))</f>
        <v>1042086713.989383</v>
      </c>
    </row>
    <row r="9" spans="1:2" x14ac:dyDescent="0.25">
      <c r="A9" t="s">
        <v>60</v>
      </c>
      <c r="B9" s="18">
        <f>B8*(1+Assumptions!B12)/(Assumptions!B26-Assumptions!B12)</f>
        <v>35353586397.77282</v>
      </c>
    </row>
    <row r="10" spans="1:2" x14ac:dyDescent="0.25">
      <c r="A10" t="s">
        <v>61</v>
      </c>
      <c r="B10" s="18">
        <f>B9/(1+Assumptions!B26)^(5-0.5*Assumptions!B32)</f>
        <v>27758936743.386322</v>
      </c>
    </row>
    <row r="11" spans="1:2" x14ac:dyDescent="0.25">
      <c r="A11" t="s">
        <v>62</v>
      </c>
      <c r="B11" s="18">
        <f>Forecast!B17+B10</f>
        <v>41227135341.15614</v>
      </c>
    </row>
    <row r="12" spans="1:2" x14ac:dyDescent="0.25">
      <c r="A12" t="s">
        <v>63</v>
      </c>
      <c r="B12" s="18">
        <f>-Assumptions!B30</f>
        <v>-32927000000</v>
      </c>
    </row>
    <row r="13" spans="1:2" x14ac:dyDescent="0.25">
      <c r="A13" t="s">
        <v>64</v>
      </c>
      <c r="B13" s="18">
        <f>B11+B12</f>
        <v>8300135341.156143</v>
      </c>
    </row>
    <row r="14" spans="1:2" x14ac:dyDescent="0.25">
      <c r="A14" s="19" t="s">
        <v>65</v>
      </c>
      <c r="B14" s="24">
        <f>B13/Assumptions!B31</f>
        <v>1.4685007897320106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8541599599.823923</v>
      </c>
    </row>
    <row r="18" spans="1:2" x14ac:dyDescent="0.25">
      <c r="A18" t="s">
        <v>60</v>
      </c>
      <c r="B18" s="18">
        <f>B17*Assumptions!B13</f>
        <v>48203735091.77193</v>
      </c>
    </row>
    <row r="19" spans="1:2" x14ac:dyDescent="0.25">
      <c r="A19" t="s">
        <v>61</v>
      </c>
      <c r="B19" s="18">
        <f>B18/(1+Assumptions!B26)^(5-0.5*Assumptions!B32)</f>
        <v>37848619321.17145</v>
      </c>
    </row>
    <row r="20" spans="1:2" x14ac:dyDescent="0.25">
      <c r="A20" t="s">
        <v>62</v>
      </c>
      <c r="B20" s="18">
        <f>Forecast!B17+B19</f>
        <v>51316817918.94127</v>
      </c>
    </row>
    <row r="21" spans="1:2" x14ac:dyDescent="0.25">
      <c r="A21" t="s">
        <v>63</v>
      </c>
      <c r="B21" s="18">
        <f>-Assumptions!B30</f>
        <v>-32927000000</v>
      </c>
    </row>
    <row r="22" spans="1:2" x14ac:dyDescent="0.25">
      <c r="A22" t="s">
        <v>64</v>
      </c>
      <c r="B22" s="18">
        <f>B20+B21</f>
        <v>18389817918.94127</v>
      </c>
    </row>
    <row r="23" spans="1:2" x14ac:dyDescent="0.25">
      <c r="A23" s="19" t="s">
        <v>65</v>
      </c>
      <c r="B23" s="25">
        <f>B22/Assumptions!B31</f>
        <v>3.253617082975359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3.573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1.4685007897320106</v>
      </c>
    </row>
    <row r="29" spans="1:2" x14ac:dyDescent="0.25">
      <c r="A29" s="19" t="s">
        <v>73</v>
      </c>
      <c r="B29" s="12">
        <f>B28/B26-1</f>
        <v>-0.5890006186028518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0.035213</v>
      </c>
      <c r="B5" s="31">
        <v>5.453506722455993</v>
      </c>
      <c r="C5" s="31">
        <v>5.866259418123399</v>
      </c>
      <c r="D5" s="31">
        <v>6.646165140073375</v>
      </c>
      <c r="E5" s="31">
        <v>8.849678021096766</v>
      </c>
      <c r="F5" s="31">
        <v>136.77506670392546</v>
      </c>
    </row>
    <row r="6" spans="1:6" x14ac:dyDescent="0.25">
      <c r="A6" s="30">
        <v>0.045213</v>
      </c>
      <c r="B6" s="31">
        <v>2.8093830040472194</v>
      </c>
      <c r="C6" s="31">
        <v>2.839919925487461</v>
      </c>
      <c r="D6" s="31">
        <v>2.8704568469277025</v>
      </c>
      <c r="E6" s="31">
        <v>2.900993768367943</v>
      </c>
      <c r="F6" s="31">
        <v>2.931530689808182</v>
      </c>
    </row>
    <row r="7" spans="1:6" x14ac:dyDescent="0.25">
      <c r="A7" s="30">
        <v>0.055213</v>
      </c>
      <c r="B7" s="31">
        <v>1.4205893261803568</v>
      </c>
      <c r="C7" s="31">
        <v>1.44454664678978</v>
      </c>
      <c r="D7" s="32">
        <v>1.468503967399198</v>
      </c>
      <c r="E7" s="31">
        <v>1.4924612880086185</v>
      </c>
      <c r="F7" s="31">
        <v>1.5164186086180378</v>
      </c>
    </row>
    <row r="8" spans="1:6" x14ac:dyDescent="0.25">
      <c r="A8" s="30">
        <v>0.065213</v>
      </c>
      <c r="B8" s="31">
        <v>0.452636756721187</v>
      </c>
      <c r="C8" s="31">
        <v>0.47207745893759806</v>
      </c>
      <c r="D8" s="31">
        <v>0.4915181611540091</v>
      </c>
      <c r="E8" s="31">
        <v>0.5109588633704202</v>
      </c>
      <c r="F8" s="31">
        <v>0.5303995655868312</v>
      </c>
    </row>
    <row r="9" spans="1:6" x14ac:dyDescent="0.25">
      <c r="A9" s="30">
        <v>0.075213</v>
      </c>
      <c r="B9" s="31">
        <v>-0.2620906947822384</v>
      </c>
      <c r="C9" s="31">
        <v>-0.24592881034720349</v>
      </c>
      <c r="D9" s="31">
        <v>-0.22976692591216996</v>
      </c>
      <c r="E9" s="31">
        <v>-0.2136050414771364</v>
      </c>
      <c r="F9" s="31">
        <v>-0.19744315704210288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35120000000</v>
      </c>
      <c r="C5" s="18">
        <v>35671000000</v>
      </c>
      <c r="D5" s="18">
        <v>40652000000</v>
      </c>
      <c r="E5" s="18">
        <v>39993000000</v>
      </c>
      <c r="F5" s="8" t="s">
        <v>84</v>
      </c>
    </row>
    <row r="6" spans="1:6" x14ac:dyDescent="0.25">
      <c r="A6" t="s">
        <v>44</v>
      </c>
      <c r="B6" s="18">
        <v>2034000000</v>
      </c>
      <c r="C6" s="18">
        <v>5238000000</v>
      </c>
      <c r="D6" s="18">
        <v>2401000000</v>
      </c>
      <c r="E6" s="18">
        <v>3392000000</v>
      </c>
      <c r="F6" s="8" t="s">
        <v>85</v>
      </c>
    </row>
    <row r="7" spans="1:6" x14ac:dyDescent="0.25">
      <c r="A7" t="s">
        <v>86</v>
      </c>
      <c r="B7" s="18">
        <v>7364000000</v>
      </c>
      <c r="C7" s="18">
        <v>7613000000</v>
      </c>
      <c r="D7" s="18">
        <v>8797000000</v>
      </c>
      <c r="E7" s="18">
        <v>8796000000</v>
      </c>
      <c r="F7" s="8" t="s">
        <v>87</v>
      </c>
    </row>
    <row r="8" spans="1:6" x14ac:dyDescent="0.25">
      <c r="A8" t="s">
        <v>88</v>
      </c>
      <c r="B8" s="18">
        <v>5055000000</v>
      </c>
      <c r="C8" s="18">
        <v>4851000000</v>
      </c>
      <c r="D8" s="18">
        <v>6161000000</v>
      </c>
      <c r="E8" s="18">
        <v>6350000000</v>
      </c>
      <c r="F8" s="8" t="s">
        <v>89</v>
      </c>
    </row>
    <row r="9" spans="1:6" x14ac:dyDescent="0.25">
      <c r="A9" t="s">
        <v>90</v>
      </c>
      <c r="B9" s="18">
        <v>1510000000</v>
      </c>
      <c r="C9" s="18">
        <v>-24000000</v>
      </c>
      <c r="D9" s="18">
        <v>-531000000</v>
      </c>
      <c r="E9" s="18">
        <v>0</v>
      </c>
      <c r="F9" s="8" t="s">
        <v>91</v>
      </c>
    </row>
    <row r="10" spans="1:6" x14ac:dyDescent="0.25">
      <c r="A10" t="s">
        <v>92</v>
      </c>
      <c r="B10" s="18">
        <v>39653000000</v>
      </c>
      <c r="C10" s="18">
        <v>45021000000</v>
      </c>
      <c r="D10" s="18">
        <v>44115000000</v>
      </c>
      <c r="E10" s="18">
        <v>45388000000</v>
      </c>
      <c r="F10" s="8" t="s">
        <v>93</v>
      </c>
    </row>
    <row r="11" spans="1:6" x14ac:dyDescent="0.25">
      <c r="A11" t="s">
        <v>94</v>
      </c>
      <c r="B11" s="18">
        <v>6726000000</v>
      </c>
      <c r="C11" s="18">
        <v>8369000000</v>
      </c>
      <c r="D11" s="18">
        <v>7476000000</v>
      </c>
      <c r="E11" s="18">
        <v>8410000000</v>
      </c>
      <c r="F11" s="8" t="s">
        <v>95</v>
      </c>
    </row>
    <row r="12" spans="1:6" x14ac:dyDescent="0.25">
      <c r="A12" t="s">
        <v>32</v>
      </c>
      <c r="B12" s="34">
        <v>5652115000</v>
      </c>
      <c r="C12" s="34">
        <v>5636000000</v>
      </c>
      <c r="D12" s="34">
        <v>5668000000</v>
      </c>
      <c r="E12" s="34">
        <v>5740000000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2026-09-19T00:07:53Z</dcterms:modified>
</cp:coreProperties>
</file>