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<sst xmlns="http://schemas.openxmlformats.org/spreadsheetml/2006/main" count="111" uniqueCount="99">
  <si>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TE Connectivity plc (TEL)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</si>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</sst>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0.019694347779123156</v>
      </c>
    </row>
    <row r="7" spans="1:2" x14ac:dyDescent="0.25">
      <c r="A7" t="s">
        <v>5</v>
      </c>
      <c r="B7" s="6">
        <v>0.18298949155910954</v>
      </c>
    </row>
    <row r="8" spans="1:2" x14ac:dyDescent="0.25">
      <c r="A8" t="s">
        <v>6</v>
      </c>
      <c r="B8" s="6">
        <v>0.16049382716049382</v>
      </c>
    </row>
    <row r="9" spans="1:2" x14ac:dyDescent="0.25">
      <c r="A9" t="s">
        <v>7</v>
      </c>
      <c r="B9" s="6">
        <v>0.04960285764423474</v>
      </c>
    </row>
    <row r="10" spans="1:2" x14ac:dyDescent="0.25">
      <c r="A10" t="s">
        <v>8</v>
      </c>
      <c r="B10" s="6">
        <v>0.047490858116687226</v>
      </c>
    </row>
    <row r="11" spans="1:2" x14ac:dyDescent="0.25">
      <c r="A11" t="s">
        <v>9</v>
      </c>
      <c r="B11" s="6">
        <v>-0.062103034580098804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15.167409371861677</v>
      </c>
    </row>
    <row r="14" spans="1:3" x14ac:dyDescent="0.25">
      <c r="A14" t="s">
        <v>12</v>
      </c>
      <c r="B14" s="6">
        <v>0.15332954212120428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1.1058599999999998</v>
      </c>
      <c r="C19" s="8" t="s">
        <v>19</v>
      </c>
    </row>
    <row r="20" spans="1:2" x14ac:dyDescent="0.25">
      <c r="A20" t="s">
        <v>20</v>
      </c>
      <c r="B20" s="10">
        <f>B17+B19*B18</f>
        <v>0.11080229999999999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59471802368</v>
      </c>
    </row>
    <row r="23" spans="1:2" x14ac:dyDescent="0.25">
      <c r="A23" t="s">
        <v>24</v>
      </c>
      <c r="B23" s="11">
        <v>5820000000</v>
      </c>
    </row>
    <row r="24" spans="1:2" x14ac:dyDescent="0.25">
      <c r="A24" t="s">
        <v>25</v>
      </c>
      <c r="B24" s="10">
        <f>B22/(B22+B23)</f>
        <v>0.9108617040896327</v>
      </c>
    </row>
    <row r="25" spans="1:2" x14ac:dyDescent="0.25">
      <c r="A25" t="s">
        <v>26</v>
      </c>
      <c r="B25" s="10">
        <f>1-B24</f>
        <v>0.08913829591036726</v>
      </c>
    </row>
    <row r="26" spans="1:2" x14ac:dyDescent="0.25">
      <c r="A26" t="s">
        <v>27</v>
      </c>
      <c r="B26" s="12">
        <f>B24*B20+B25*B21*(1-B8)</f>
        <v>0.10466568263471504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17262000000</v>
      </c>
      <c r="C29" s="8" t="s">
        <v>30</v>
      </c>
    </row>
    <row r="30" spans="1:2" x14ac:dyDescent="0.25">
      <c r="A30" t="s">
        <v>31</v>
      </c>
      <c r="B30" s="11">
        <v>4565000000</v>
      </c>
    </row>
    <row r="31" spans="1:2" x14ac:dyDescent="0.25">
      <c r="A31" t="s">
        <v>32</v>
      </c>
      <c r="B31" s="13">
        <v>299000000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0.019694347779123156</v>
      </c>
      <c r="C5" s="10">
        <f>Assumptions!B6</f>
        <v>0.019694347779123156</v>
      </c>
      <c r="D5" s="10">
        <f>Assumptions!B6</f>
        <v>0.019694347779123156</v>
      </c>
      <c r="E5" s="10">
        <f>Assumptions!B6</f>
        <v>0.019694347779123156</v>
      </c>
      <c r="F5" s="10">
        <f>Assumptions!B6</f>
        <v>0.019694347779123156</v>
      </c>
    </row>
    <row r="6" spans="1:6" x14ac:dyDescent="0.25">
      <c r="A6" t="s">
        <v>43</v>
      </c>
      <c r="B6" s="18">
        <f>Assumptions!B29*(1+B5)</f>
        <v>17601963831.363224</v>
      </c>
      <c r="C6" s="18">
        <f>B6*(1+C5)</f>
        <v>17948623028.653637</v>
      </c>
      <c r="D6" s="18">
        <f>C6*(1+D5)</f>
        <v>18302109452.73632</v>
      </c>
      <c r="E6" s="18">
        <f>D6*(1+E5)</f>
        <v>18662557561.390087</v>
      </c>
      <c r="F6" s="18">
        <f>E6*(1+F5)</f>
        <v>19030104460.452007</v>
      </c>
    </row>
    <row r="7" spans="1:6" x14ac:dyDescent="0.25">
      <c r="A7" t="s">
        <v>5</v>
      </c>
      <c r="B7" s="10">
        <f>Assumptions!B7</f>
        <v>0.18298949155910954</v>
      </c>
      <c r="C7" s="10">
        <f>Assumptions!B7</f>
        <v>0.18298949155910954</v>
      </c>
      <c r="D7" s="10">
        <f>Assumptions!B7</f>
        <v>0.18298949155910954</v>
      </c>
      <c r="E7" s="10">
        <f>Assumptions!B7</f>
        <v>0.18298949155910954</v>
      </c>
      <c r="F7" s="10">
        <f>Assumptions!B7</f>
        <v>0.18298949155910954</v>
      </c>
    </row>
    <row r="8" spans="1:6" x14ac:dyDescent="0.25">
      <c r="A8" t="s">
        <v>44</v>
      </c>
      <c r="B8" s="18">
        <f>B6*B7</f>
        <v>3220974411.942992</v>
      </c>
      <c r="C8" s="18">
        <f>C6*C7</f>
        <v>3284409402.199454</v>
      </c>
      <c r="D8" s="18">
        <f>D6*D7</f>
        <v>3349093703.2153916</v>
      </c>
      <c r="E8" s="18">
        <f>E6*E7</f>
        <v>3415051919.3513875</v>
      </c>
      <c r="F8" s="18">
        <f>F6*F7</f>
        <v>3482309139.5348554</v>
      </c>
    </row>
    <row r="9" spans="1:6" x14ac:dyDescent="0.25">
      <c r="A9" t="s">
        <v>45</v>
      </c>
      <c r="B9" s="18">
        <f>B8*(1-Assumptions!B8)</f>
        <v>2704027901.38424</v>
      </c>
      <c r="C9" s="18">
        <f>C8*(1-Assumptions!B8)</f>
        <v>2757281967.2785535</v>
      </c>
      <c r="D9" s="18">
        <f>D8*(1-Assumptions!B8)</f>
        <v>2811584837.2672424</v>
      </c>
      <c r="E9" s="18">
        <f>E8*(1-Assumptions!B8)</f>
        <v>2866957166.862893</v>
      </c>
      <c r="F9" s="18">
        <f>F8*(1-Assumptions!B8)</f>
        <v>2923420018.37494</v>
      </c>
    </row>
    <row r="10" spans="1:6" x14ac:dyDescent="0.25">
      <c r="A10" t="s">
        <v>46</v>
      </c>
      <c r="B10" s="18">
        <f>B6*Assumptions!B9</f>
        <v>873107706.1860788</v>
      </c>
      <c r="C10" s="18">
        <f>C6*Assumptions!B9</f>
        <v>890302993.0003397</v>
      </c>
      <c r="D10" s="18">
        <f>D6*Assumptions!B9</f>
        <v>907836929.7732828</v>
      </c>
      <c r="E10" s="18">
        <f>E6*Assumptions!B9</f>
        <v>925716185.9949691</v>
      </c>
      <c r="F10" s="18">
        <f>F6*Assumptions!B9</f>
        <v>943947562.5067176</v>
      </c>
    </row>
    <row r="11" spans="1:6" x14ac:dyDescent="0.25">
      <c r="A11" t="s">
        <v>47</v>
      </c>
      <c r="B11" s="18">
        <f>-B6*Assumptions!B10</f>
        <v>-835932366.8903311</v>
      </c>
      <c r="C11" s="18">
        <f>-C6*Assumptions!B10</f>
        <v>-852395509.6436949</v>
      </c>
      <c r="D11" s="18">
        <f>-D6*Assumptions!B10</f>
        <v>-869182883.2559807</v>
      </c>
      <c r="E11" s="18">
        <f>-E6*Assumptions!B10</f>
        <v>-886300873.2424849</v>
      </c>
      <c r="F11" s="18">
        <f>-F6*Assumptions!B10</f>
        <v>-903755990.877063</v>
      </c>
    </row>
    <row r="12" spans="1:6" x14ac:dyDescent="0.25">
      <c r="A12" t="s">
        <v>48</v>
      </c>
      <c r="B12" s="18">
        <f>-(B6-Assumptions!B29)*Assumptions!B11</f>
        <v>21112785.57513318</v>
      </c>
      <c r="C12" s="18">
        <f>-(C6-B6)*Assumptions!B11</f>
        <v>21528588.116835807</v>
      </c>
      <c r="D12" s="18">
        <f>-(D6-C6)*Assumptions!B11</f>
        <v>21952579.61840237</v>
      </c>
      <c r="E12" s="18">
        <f>-(E6-D6)*Assumptions!B11</f>
        <v>22384921.35605608</v>
      </c>
      <c r="F12" s="18">
        <f>-(F6-E6)*Assumptions!B11</f>
        <v>22825777.782250512</v>
      </c>
    </row>
    <row r="13" spans="1:6" x14ac:dyDescent="0.25">
      <c r="A13" s="19" t="s">
        <v>49</v>
      </c>
      <c r="B13" s="20">
        <f>B9+B10+B11+B12</f>
        <v>2762316026.255121</v>
      </c>
      <c r="C13" s="20">
        <f>C9+C10+C11+C12</f>
        <v>2816718038.752034</v>
      </c>
      <c r="D13" s="20">
        <f>D9+D10+D11+D12</f>
        <v>2872191463.4029474</v>
      </c>
      <c r="E13" s="20">
        <f>E9+E10+E11+E12</f>
        <v>2928757400.9714336</v>
      </c>
      <c r="F13" s="20">
        <f>F9+F10+F11+F12</f>
        <v>2986437367.786845</v>
      </c>
    </row>
    <row r="14" spans="1:6" x14ac:dyDescent="0.25">
      <c r="A14" t="s">
        <v>50</v>
      </c>
      <c r="B14" s="21">
        <f>1/(1+Assumptions!$B$26)^(1-0.5*Assumptions!$B$32)</f>
        <v>0.9514469291657082</v>
      </c>
      <c r="C14" s="21">
        <f>1/(1+Assumptions!$B$26)^(2-0.5*Assumptions!$B$32)</f>
        <v>0.8612985305168819</v>
      </c>
      <c r="D14" s="21">
        <f>1/(1+Assumptions!$B$26)^(3-0.5*Assumptions!$B$32)</f>
        <v>0.7796915791414981</v>
      </c>
      <c r="E14" s="21">
        <f>1/(1+Assumptions!$B$26)^(4-0.5*Assumptions!$B$32)</f>
        <v>0.7058167836642413</v>
      </c>
      <c r="F14" s="21">
        <f>1/(1+Assumptions!$B$26)^(5-0.5*Assumptions!$B$32)</f>
        <v>0.6389415320486941</v>
      </c>
    </row>
    <row r="15" spans="1:6" x14ac:dyDescent="0.25">
      <c r="A15" s="19" t="s">
        <v>51</v>
      </c>
      <c r="B15" s="20">
        <f>B13*B14</f>
        <v>2628197100.5656567</v>
      </c>
      <c r="C15" s="20">
        <f>C13*C14</f>
        <v>2426035107.657521</v>
      </c>
      <c r="D15" s="20">
        <f>D13*D14</f>
        <v>2239423497.6973743</v>
      </c>
      <c r="E15" s="20">
        <f>E13*E14</f>
        <v>2067166128.8865</v>
      </c>
      <c r="F15" s="20">
        <f>F13*F14</f>
        <v>1908158867.1411963</v>
      </c>
    </row>
    <row r="17" spans="1:2" x14ac:dyDescent="0.25">
      <c r="A17" s="22" t="s">
        <v>52</v>
      </c>
      <c r="B17" s="23">
        <f>SUM(B15:F15)</f>
        <v>11268980701.948246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2986437367.786845</v>
      </c>
    </row>
    <row r="5" spans="1:2" x14ac:dyDescent="0.25">
      <c r="A5" t="s">
        <v>56</v>
      </c>
      <c r="B5" s="18">
        <f>IF(Assumptions!$B$33=0,B4,B4-Forecast!F11-Forecast!F10-Forecast!F12)</f>
        <v>3102904874.7055626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0.16304750965888848</v>
      </c>
    </row>
    <row r="7" spans="1:2" x14ac:dyDescent="0.25">
      <c r="A7" t="s">
        <v>58</v>
      </c>
      <c r="B7" s="18">
        <f>-MAX(Forecast!F9,0)*B6</f>
        <v>-505920912.52916735</v>
      </c>
    </row>
    <row r="8" spans="1:2" x14ac:dyDescent="0.25">
      <c r="A8" t="s">
        <v>59</v>
      </c>
      <c r="B8" s="18">
        <f>IF(OR(Assumptions!$B$33=0,Assumptions!B12&lt;=0),B5,MAX(B5+B7,0))</f>
        <v>2596983962.1763954</v>
      </c>
    </row>
    <row r="9" spans="1:2" x14ac:dyDescent="0.25">
      <c r="A9" t="s">
        <v>60</v>
      </c>
      <c r="B9" s="18">
        <f>B8*(1+Assumptions!B12)/(Assumptions!B26-Assumptions!B12)</f>
        <v>33413490893.3907</v>
      </c>
    </row>
    <row r="10" spans="1:2" x14ac:dyDescent="0.25">
      <c r="A10" t="s">
        <v>61</v>
      </c>
      <c r="B10" s="18">
        <f>B9/(1+Assumptions!B26)^(5-0.5*Assumptions!B32)</f>
        <v>21349267062.518143</v>
      </c>
    </row>
    <row r="11" spans="1:2" x14ac:dyDescent="0.25">
      <c r="A11" t="s">
        <v>62</v>
      </c>
      <c r="B11" s="18">
        <f>Forecast!B17+B10</f>
        <v>32618247764.46639</v>
      </c>
    </row>
    <row r="12" spans="1:2" x14ac:dyDescent="0.25">
      <c r="A12" t="s">
        <v>63</v>
      </c>
      <c r="B12" s="18">
        <f>-Assumptions!B30</f>
        <v>-4565000000</v>
      </c>
    </row>
    <row r="13" spans="1:2" x14ac:dyDescent="0.25">
      <c r="A13" t="s">
        <v>64</v>
      </c>
      <c r="B13" s="18">
        <f>B11+B12</f>
        <v>28053247764.46639</v>
      </c>
    </row>
    <row r="14" spans="1:2" x14ac:dyDescent="0.25">
      <c r="A14" s="19" t="s">
        <v>65</v>
      </c>
      <c r="B14" s="24">
        <f>B13/Assumptions!B31</f>
        <v>93.82357111861668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4426256702.041573</v>
      </c>
    </row>
    <row r="18" spans="1:2" x14ac:dyDescent="0.25">
      <c r="A18" t="s">
        <v>60</v>
      </c>
      <c r="B18" s="18">
        <f>B17*Assumptions!B13</f>
        <v>67134847384.810905</v>
      </c>
    </row>
    <row r="19" spans="1:2" x14ac:dyDescent="0.25">
      <c r="A19" t="s">
        <v>61</v>
      </c>
      <c r="B19" s="18">
        <f>B18/(1+Assumptions!B26)^(5-0.5*Assumptions!B32)</f>
        <v>42895242241.90634</v>
      </c>
    </row>
    <row r="20" spans="1:2" x14ac:dyDescent="0.25">
      <c r="A20" t="s">
        <v>62</v>
      </c>
      <c r="B20" s="18">
        <f>Forecast!B17+B19</f>
        <v>54164222943.85458</v>
      </c>
    </row>
    <row r="21" spans="1:2" x14ac:dyDescent="0.25">
      <c r="A21" t="s">
        <v>63</v>
      </c>
      <c r="B21" s="18">
        <f>-Assumptions!B30</f>
        <v>-4565000000</v>
      </c>
    </row>
    <row r="22" spans="1:2" x14ac:dyDescent="0.25">
      <c r="A22" t="s">
        <v>64</v>
      </c>
      <c r="B22" s="18">
        <f>B20+B21</f>
        <v>49599222943.85458</v>
      </c>
    </row>
    <row r="23" spans="1:2" x14ac:dyDescent="0.25">
      <c r="A23" s="19" t="s">
        <v>65</v>
      </c>
      <c r="B23" s="25">
        <f>B22/Assumptions!B31</f>
        <v>165.8836887754334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205.42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93.82357111861668</v>
      </c>
    </row>
    <row r="29" spans="1:2" x14ac:dyDescent="0.25">
      <c r="A29" s="19" t="s">
        <v>73</v>
      </c>
      <c r="B29" s="12">
        <f>B28/B26-1</f>
        <v>-0.5432598037259435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0.084666</v>
      </c>
      <c r="B5" s="31">
        <v>118.70449558529867</v>
      </c>
      <c r="C5" s="31">
        <v>122.82016745365429</v>
      </c>
      <c r="D5" s="31">
        <v>127.58628008548443</v>
      </c>
      <c r="E5" s="31">
        <v>133.18131025706904</v>
      </c>
      <c r="F5" s="31">
        <v>139.85560555219422</v>
      </c>
    </row>
    <row r="6" spans="1:6" x14ac:dyDescent="0.25">
      <c r="A6" s="30">
        <v>0.094666</v>
      </c>
      <c r="B6" s="31">
        <v>102.63364800080397</v>
      </c>
      <c r="C6" s="31">
        <v>105.29070432239546</v>
      </c>
      <c r="D6" s="31">
        <v>108.2968263997395</v>
      </c>
      <c r="E6" s="31">
        <v>111.73298392844578</v>
      </c>
      <c r="F6" s="31">
        <v>115.70728758746765</v>
      </c>
    </row>
    <row r="7" spans="1:6" x14ac:dyDescent="0.25">
      <c r="A7" s="30">
        <v>0.104666</v>
      </c>
      <c r="B7" s="31">
        <v>90.13636070615453</v>
      </c>
      <c r="C7" s="31">
        <v>91.88367073521313</v>
      </c>
      <c r="D7" s="32">
        <v>93.82316902218895</v>
      </c>
      <c r="E7" s="31">
        <v>95.99346516005276</v>
      </c>
      <c r="F7" s="31">
        <v>98.44425294152018</v>
      </c>
    </row>
    <row r="8" spans="1:6" x14ac:dyDescent="0.25">
      <c r="A8" s="30">
        <v>0.114666</v>
      </c>
      <c r="B8" s="31">
        <v>80.13746684969466</v>
      </c>
      <c r="C8" s="31">
        <v>81.29350520049354</v>
      </c>
      <c r="D8" s="31">
        <v>82.55531478890668</v>
      </c>
      <c r="E8" s="31">
        <v>83.94163476127635</v>
      </c>
      <c r="F8" s="31">
        <v>85.47590869151546</v>
      </c>
    </row>
    <row r="9" spans="1:6" x14ac:dyDescent="0.25">
      <c r="A9" s="30">
        <v>0.124666</v>
      </c>
      <c r="B9" s="31">
        <v>71.95393125509223</v>
      </c>
      <c r="C9" s="31">
        <v>72.71354070377181</v>
      </c>
      <c r="D9" s="31">
        <v>73.52935375531519</v>
      </c>
      <c r="E9" s="31">
        <v>74.41027597289136</v>
      </c>
      <c r="F9" s="31">
        <v>75.36719930540505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17262000000</v>
      </c>
      <c r="C5" s="18">
        <v>15845000000</v>
      </c>
      <c r="D5" s="18">
        <v>16034000000</v>
      </c>
      <c r="E5" s="18">
        <v>16281000000</v>
      </c>
      <c r="F5" s="8" t="s">
        <v>84</v>
      </c>
    </row>
    <row r="6" spans="1:6" x14ac:dyDescent="0.25">
      <c r="A6" t="s">
        <v>44</v>
      </c>
      <c r="B6" s="18">
        <v>3384000000</v>
      </c>
      <c r="C6" s="18">
        <v>2983000000</v>
      </c>
      <c r="D6" s="18">
        <v>2677000000</v>
      </c>
      <c r="E6" s="18">
        <v>2942000000</v>
      </c>
      <c r="F6" s="8" t="s">
        <v>85</v>
      </c>
    </row>
    <row r="7" spans="1:6" x14ac:dyDescent="0.25">
      <c r="A7" t="s">
        <v>86</v>
      </c>
      <c r="B7" s="18">
        <v>838000000</v>
      </c>
      <c r="C7" s="18">
        <v>826000000</v>
      </c>
      <c r="D7" s="18">
        <v>794000000</v>
      </c>
      <c r="E7" s="18">
        <v>785000000</v>
      </c>
      <c r="F7" s="8" t="s">
        <v>87</v>
      </c>
    </row>
    <row r="8" spans="1:6" x14ac:dyDescent="0.25">
      <c r="A8" t="s">
        <v>88</v>
      </c>
      <c r="B8" s="18">
        <v>936000000</v>
      </c>
      <c r="C8" s="18">
        <v>680000000</v>
      </c>
      <c r="D8" s="18">
        <v>732000000</v>
      </c>
      <c r="E8" s="18">
        <v>768000000</v>
      </c>
      <c r="F8" s="8" t="s">
        <v>89</v>
      </c>
    </row>
    <row r="9" spans="1:6" x14ac:dyDescent="0.25">
      <c r="A9" t="s">
        <v>90</v>
      </c>
      <c r="B9" s="18">
        <v>-88000000</v>
      </c>
      <c r="C9" s="18">
        <v>143000000</v>
      </c>
      <c r="D9" s="18">
        <v>-8000000</v>
      </c>
      <c r="E9" s="18">
        <v>940000000</v>
      </c>
      <c r="F9" s="8" t="s">
        <v>91</v>
      </c>
    </row>
    <row r="10" spans="1:6" x14ac:dyDescent="0.25">
      <c r="A10" t="s">
        <v>92</v>
      </c>
      <c r="B10" s="18">
        <v>5820000000</v>
      </c>
      <c r="C10" s="18">
        <v>4331000000</v>
      </c>
      <c r="D10" s="18">
        <v>4329000000</v>
      </c>
      <c r="E10" s="18">
        <v>4332000000</v>
      </c>
      <c r="F10" s="8" t="s">
        <v>93</v>
      </c>
    </row>
    <row r="11" spans="1:6" x14ac:dyDescent="0.25">
      <c r="A11" t="s">
        <v>94</v>
      </c>
      <c r="B11" s="18">
        <v>1255000000</v>
      </c>
      <c r="C11" s="18">
        <v>1319000000</v>
      </c>
      <c r="D11" s="18">
        <v>1661000000</v>
      </c>
      <c r="E11" s="18">
        <v>1088000000</v>
      </c>
      <c r="F11" s="8" t="s">
        <v>95</v>
      </c>
    </row>
    <row r="12" spans="1:6" x14ac:dyDescent="0.25">
      <c r="A12" t="s">
        <v>32</v>
      </c>
      <c r="B12" s="34">
        <v>299000000</v>
      </c>
      <c r="C12" s="34">
        <v>309000000</v>
      </c>
      <c r="D12" s="34">
        <v>317000000</v>
      </c>
      <c r="E12" s="34">
        <v>325000000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