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<sst xmlns="http://schemas.openxmlformats.org/spreadsheetml/2006/main" count="119" uniqueCount="106">
  <si>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TE Connectivity plc (TEL)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</si>
  <si>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</si>
  <si>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</si>
  <si>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</si>
  <si>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</si>
  <si>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</si>
  <si>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</si>
  <si>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</si>
  <si>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</si>
  <si>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</si>
  <si>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</si>
  <si>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</si>
  <si>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</si>
  <si>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</si>
  <si>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</si>
  <si>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</si>
  <si>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</si>
  <si>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</si>
  <si>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</si>
  <si>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</si>
  <si>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</si>
  <si>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</si>
  <si>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</si>
  <si>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</si>
  <si>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43.9x interest cover. Book interest / average debt was lower, at 1.5%.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</si>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</sst>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0.2949254339010543</v>
      </c>
    </row>
    <row r="7" spans="1:2" x14ac:dyDescent="0.25">
      <c r="A7" t="s">
        <v>4</v>
      </c>
      <c r="B7" s="5">
        <v>0.18298949155910954</v>
      </c>
    </row>
    <row r="8" spans="1:2" x14ac:dyDescent="0.25">
      <c r="A8" t="s">
        <v>5</v>
      </c>
      <c r="B8" s="5">
        <v>0.16049382716049382</v>
      </c>
    </row>
    <row r="9" spans="1:2" x14ac:dyDescent="0.25">
      <c r="A9" t="s">
        <v>6</v>
      </c>
      <c r="B9" s="5">
        <v>0.04960285764423474</v>
      </c>
    </row>
    <row r="10" spans="1:3" x14ac:dyDescent="0.25">
      <c r="A10" t="s">
        <v>7</v>
      </c>
      <c r="B10" s="5">
        <v>0.047490858116687226</v>
      </c>
      <c r="C10" s="6" t="s">
        <v>8</v>
      </c>
    </row>
    <row r="11" spans="1:2" x14ac:dyDescent="0.25">
      <c r="A11" t="s">
        <v>9</v>
      </c>
      <c r="B11" s="5">
        <v>0.24254571840027334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15.587692733301752</v>
      </c>
    </row>
    <row r="14" spans="1:3" x14ac:dyDescent="0.25">
      <c r="A14" t="s">
        <v>12</v>
      </c>
      <c r="B14" s="5">
        <v>0.15332954212120428</v>
      </c>
      <c r="C14" s="6" t="s">
        <v>13</v>
      </c>
    </row>
    <row r="15" spans="1:3" x14ac:dyDescent="0.25">
      <c r="A15" t="s">
        <v>14</v>
      </c>
      <c r="B15" s="5">
        <v>0.03836812490105625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1.0937999999999999</v>
      </c>
      <c r="C19" s="6" t="s">
        <v>21</v>
      </c>
    </row>
    <row r="20" spans="1:2" x14ac:dyDescent="0.25">
      <c r="A20" t="s">
        <v>22</v>
      </c>
      <c r="B20" s="9">
        <f>B17+B19*B18</f>
        <v>0.09520774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61246238720</v>
      </c>
    </row>
    <row r="23" spans="1:2" x14ac:dyDescent="0.25">
      <c r="A23" t="s">
        <v>26</v>
      </c>
      <c r="B23" s="10">
        <v>5820000000</v>
      </c>
    </row>
    <row r="24" spans="1:2" x14ac:dyDescent="0.25">
      <c r="A24" t="s">
        <v>27</v>
      </c>
      <c r="B24" s="9">
        <f>B22/(B22+B23)</f>
        <v>0.9132201222093523</v>
      </c>
    </row>
    <row r="25" spans="1:2" x14ac:dyDescent="0.25">
      <c r="A25" t="s">
        <v>28</v>
      </c>
      <c r="B25" s="9">
        <f>1-B24</f>
        <v>0.08677987779064766</v>
      </c>
    </row>
    <row r="26" spans="1:2" x14ac:dyDescent="0.25">
      <c r="A26" t="s">
        <v>29</v>
      </c>
      <c r="B26" s="11">
        <f>B24*B20+B25*B21*(1-B8)</f>
        <v>0.09080242170691709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17262000000</v>
      </c>
      <c r="C29" s="6" t="s">
        <v>32</v>
      </c>
    </row>
    <row r="30" spans="1:2" x14ac:dyDescent="0.25">
      <c r="A30" t="s">
        <v>33</v>
      </c>
      <c r="B30" s="10">
        <v>4565000000</v>
      </c>
    </row>
    <row r="31" spans="1:2" x14ac:dyDescent="0.25">
      <c r="A31" t="s">
        <v>34</v>
      </c>
      <c r="B31" s="12">
        <v>299000000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0.2949254339010543</v>
      </c>
      <c r="C5" s="5">
        <v>0.07095409110590878</v>
      </c>
      <c r="D5" s="5">
        <v>0.06520982971767018</v>
      </c>
      <c r="E5" s="5">
        <v>0.05946556832943158</v>
      </c>
      <c r="F5" s="5">
        <v>0.05372130694119299</v>
      </c>
      <c r="G5" s="5">
        <v>0.04797704555295439</v>
      </c>
      <c r="H5" s="5">
        <v>0.04223278416471579</v>
      </c>
      <c r="I5" s="5">
        <v>0.0364885227764772</v>
      </c>
      <c r="J5" s="5">
        <v>0.030744261388238596</v>
      </c>
      <c r="K5" s="5">
        <v>0.025</v>
      </c>
    </row>
    <row r="6" spans="1:11" x14ac:dyDescent="0.25">
      <c r="A6" t="s">
        <v>50</v>
      </c>
      <c r="B6" s="18">
        <f>Assumptions!B29*(1+B5)</f>
        <v>22353002840</v>
      </c>
      <c r="C6" s="18">
        <f>B6*(1+C5)</f>
        <v>23939039839.999996</v>
      </c>
      <c r="D6" s="18">
        <f>C6*(1+D5)</f>
        <v>25500100551.57092</v>
      </c>
      <c r="E6" s="18">
        <f>D6*(1+E5)</f>
        <v>27016478523.327736</v>
      </c>
      <c r="F6" s="18">
        <f>E6*(1+F5)</f>
        <v>28467839058.549576</v>
      </c>
      <c r="G6" s="18">
        <f>F6*(1+G5)</f>
        <v>29833641869.855785</v>
      </c>
      <c r="H6" s="18">
        <f>G6*(1+H5)</f>
        <v>31093599627.792835</v>
      </c>
      <c r="I6" s="18">
        <f>H6*(1+I5)</f>
        <v>32228159146.01422</v>
      </c>
      <c r="J6" s="18">
        <f>I6*(1+J5)</f>
        <v>33218990094.86103</v>
      </c>
      <c r="K6" s="18">
        <f>J6*(1+K5)</f>
        <v>34049464847.23255</v>
      </c>
    </row>
    <row r="7" spans="1:11" x14ac:dyDescent="0.25">
      <c r="A7" t="s">
        <v>4</v>
      </c>
      <c r="B7" s="9">
        <f>Assumptions!B7</f>
        <v>0.18298949155910954</v>
      </c>
      <c r="C7" s="9">
        <f>Assumptions!B7</f>
        <v>0.18298949155910954</v>
      </c>
      <c r="D7" s="9">
        <f>Assumptions!B7</f>
        <v>0.18298949155910954</v>
      </c>
      <c r="E7" s="9">
        <f>Assumptions!B7</f>
        <v>0.18298949155910954</v>
      </c>
      <c r="F7" s="9">
        <f>Assumptions!B7</f>
        <v>0.18298949155910954</v>
      </c>
      <c r="G7" s="9">
        <f>Assumptions!B7</f>
        <v>0.18298949155910954</v>
      </c>
      <c r="H7" s="9">
        <f>Assumptions!B7</f>
        <v>0.18298949155910954</v>
      </c>
      <c r="I7" s="9">
        <f>Assumptions!B7</f>
        <v>0.18298949155910954</v>
      </c>
      <c r="J7" s="9">
        <f>Assumptions!B7</f>
        <v>0.18298949155910954</v>
      </c>
      <c r="K7" s="9">
        <f>Assumptions!B7</f>
        <v>0.18298949155910954</v>
      </c>
    </row>
    <row r="8" spans="1:11" x14ac:dyDescent="0.25">
      <c r="A8" t="s">
        <v>51</v>
      </c>
      <c r="B8" s="18">
        <f>B6*B7</f>
        <v>4090364624.5109315</v>
      </c>
      <c r="C8" s="18">
        <f>C6*C7</f>
        <v>4380592728.734866</v>
      </c>
      <c r="D8" s="18">
        <f>D6*D7</f>
        <v>4666250434.638131</v>
      </c>
      <c r="E8" s="18">
        <f>E6*E7</f>
        <v>4943731668.7013445</v>
      </c>
      <c r="F8" s="18">
        <f>F6*F7</f>
        <v>5209315395.110546</v>
      </c>
      <c r="G8" s="18">
        <f>G6*G7</f>
        <v>5459242957.121472</v>
      </c>
      <c r="H8" s="18">
        <f>H6*H7</f>
        <v>5689801986.632329</v>
      </c>
      <c r="I8" s="18">
        <f>I6*I7</f>
        <v>5897414456.015208</v>
      </c>
      <c r="J8" s="18">
        <f>J6*J7</f>
        <v>6078726107.565716</v>
      </c>
      <c r="K8" s="18">
        <f>K6*K7</f>
        <v>6230694260.254858</v>
      </c>
    </row>
    <row r="9" spans="1:11" x14ac:dyDescent="0.25">
      <c r="A9" t="s">
        <v>52</v>
      </c>
      <c r="B9" s="18">
        <f>B8*(1-Assumptions!B8)</f>
        <v>3433886351.4412756</v>
      </c>
      <c r="C9" s="18">
        <f>C8*(1-Assumptions!B8)</f>
        <v>3677534636.468776</v>
      </c>
      <c r="D9" s="18">
        <f>D8*(1-Assumptions!B8)</f>
        <v>3917346043.8937397</v>
      </c>
      <c r="E9" s="18">
        <f>E8*(1-Assumptions!B8)</f>
        <v>4150293252.736931</v>
      </c>
      <c r="F9" s="18">
        <f>F8*(1-Assumptions!B8)</f>
        <v>4373252430.463174</v>
      </c>
      <c r="G9" s="18">
        <f>G8*(1-Assumptions!B8)</f>
        <v>4583068161.534076</v>
      </c>
      <c r="H9" s="18">
        <f>H8*(1-Assumptions!B8)</f>
        <v>4776623890.012325</v>
      </c>
      <c r="I9" s="18">
        <f>I8*(1-Assumptions!B8)</f>
        <v>4950915839.617705</v>
      </c>
      <c r="J9" s="18">
        <f>J8*(1-Assumptions!B8)</f>
        <v>5103128090.302082</v>
      </c>
      <c r="K9" s="18">
        <f>K8*(1-Assumptions!B8)</f>
        <v>5230706292.559633</v>
      </c>
    </row>
    <row r="10" spans="1:11" x14ac:dyDescent="0.25">
      <c r="A10" t="s">
        <v>53</v>
      </c>
      <c r="B10" s="18">
        <f>B6*Assumptions!B9</f>
        <v>1108772817.793695</v>
      </c>
      <c r="C10" s="18">
        <f>C6*Assumptions!B9</f>
        <v>1187444785.3231838</v>
      </c>
      <c r="D10" s="18">
        <f>D6*Assumptions!B9</f>
        <v>1264877857.573244</v>
      </c>
      <c r="E10" s="18">
        <f>E6*Assumptions!B9</f>
        <v>1340094538.2411509</v>
      </c>
      <c r="F10" s="18">
        <f>F6*Assumptions!B9</f>
        <v>1412086168.2602203</v>
      </c>
      <c r="G10" s="18">
        <f>G6*Assumptions!B9</f>
        <v>1479833890.6795378</v>
      </c>
      <c r="H10" s="18">
        <f>H6*Assumptions!B9</f>
        <v>1542331395.9842384</v>
      </c>
      <c r="I10" s="18">
        <f>I6*Assumptions!B9</f>
        <v>1598608790.2554853</v>
      </c>
      <c r="J10" s="18">
        <f>J6*Assumptions!B9</f>
        <v>1647756836.7606356</v>
      </c>
      <c r="K10" s="18">
        <f>K6*Assumptions!B9</f>
        <v>1688950757.6796513</v>
      </c>
    </row>
    <row r="11" spans="1:11" x14ac:dyDescent="0.25">
      <c r="A11" t="s">
        <v>54</v>
      </c>
      <c r="B11" s="18">
        <f>-B6*B19</f>
        <v>-1061563286.3563466</v>
      </c>
      <c r="C11" s="18">
        <f>-C6*C19</f>
        <v>-1183334091.879751</v>
      </c>
      <c r="D11" s="18">
        <f>-D6*D19</f>
        <v>-1309976555.764775</v>
      </c>
      <c r="E11" s="18">
        <f>-E6*E19</f>
        <v>-1440294710.0453954</v>
      </c>
      <c r="F11" s="18">
        <f>-F6*F19</f>
        <v>-1572904930.4599395</v>
      </c>
      <c r="G11" s="18">
        <f>-G6*G19</f>
        <v>-1706254014.162508</v>
      </c>
      <c r="H11" s="18">
        <f>-H6*H19</f>
        <v>-1838644300.3552585</v>
      </c>
      <c r="I11" s="18">
        <f>-I6*I19</f>
        <v>-1968265511.6901505</v>
      </c>
      <c r="J11" s="18">
        <f>-J6*J19</f>
        <v>-2093232671.8756251</v>
      </c>
      <c r="K11" s="18">
        <f>-K6*K19</f>
        <v>-2211629136.7554483</v>
      </c>
    </row>
    <row r="12" spans="1:11" x14ac:dyDescent="0.25">
      <c r="A12" t="s">
        <v>55</v>
      </c>
      <c r="B12" s="18">
        <f>-(B6-Assumptions!B29)*Assumptions!B11</f>
        <v>-1234800941.2056317</v>
      </c>
      <c r="C12" s="18">
        <f>-(C6-B6)*Assumptions!B11</f>
        <v>-384686483.5744134</v>
      </c>
      <c r="D12" s="18">
        <f>-(D6-C6)*Assumptions!B11</f>
        <v>-378628591.75441134</v>
      </c>
      <c r="E12" s="18">
        <f>-(E6-D6)*Assumptions!B11</f>
        <v>-367790984.52610654</v>
      </c>
      <c r="F12" s="18">
        <f>-(F6-E6)*Assumptions!B11</f>
        <v>-352021283.67318636</v>
      </c>
      <c r="G12" s="18">
        <f>-(G6-F6)*Assumptions!B11</f>
        <v>-331269624.0613776</v>
      </c>
      <c r="H12" s="18">
        <f>-(H6-G6)*Assumptions!B11</f>
        <v>-305597359.55283946</v>
      </c>
      <c r="I12" s="18">
        <f>-(I6-H6)*Assumptions!B11</f>
        <v>-275182553.4148741</v>
      </c>
      <c r="J12" s="18">
        <f>-(J6-I6)*Assumptions!B11</f>
        <v>-240321804.30127385</v>
      </c>
      <c r="K12" s="18">
        <f>-(K6-J6)*Assumptions!B11</f>
        <v>-201428095.42723966</v>
      </c>
    </row>
    <row r="13" spans="1:11" x14ac:dyDescent="0.25">
      <c r="A13" s="19" t="s">
        <v>56</v>
      </c>
      <c r="B13" s="20">
        <f>B9+B10+B11+B12</f>
        <v>2246294941.6729918</v>
      </c>
      <c r="C13" s="20">
        <f>C9+C10+C11+C12</f>
        <v>3296958846.3377953</v>
      </c>
      <c r="D13" s="20">
        <f>D9+D10+D11+D12</f>
        <v>3493618753.9477973</v>
      </c>
      <c r="E13" s="20">
        <f>E9+E10+E11+E12</f>
        <v>3682302096.40658</v>
      </c>
      <c r="F13" s="20">
        <f>F9+F10+F11+F12</f>
        <v>3860412384.5902686</v>
      </c>
      <c r="G13" s="20">
        <f>G9+G10+G11+G12</f>
        <v>4025378413.989728</v>
      </c>
      <c r="H13" s="20">
        <f>H9+H10+H11+H12</f>
        <v>4174713626.0884666</v>
      </c>
      <c r="I13" s="20">
        <f>I9+I10+I11+I12</f>
        <v>4306076564.768167</v>
      </c>
      <c r="J13" s="20">
        <f>J9+J10+J11+J12</f>
        <v>4417330450.885818</v>
      </c>
      <c r="K13" s="20">
        <f>K9+K10+K11+K12</f>
        <v>4506599818.056597</v>
      </c>
    </row>
    <row r="14" spans="1:11" x14ac:dyDescent="0.25">
      <c r="A14" t="s">
        <v>57</v>
      </c>
      <c r="B14" s="21">
        <f>1/(1+Assumptions!$B$26)^(1-0.5*Assumptions!$B$32)</f>
        <v>0.957473919849458</v>
      </c>
      <c r="C14" s="21">
        <f>1/(1+Assumptions!$B$26)^(2-0.5*Assumptions!$B$32)</f>
        <v>0.8777702549937294</v>
      </c>
      <c r="D14" s="21">
        <f>1/(1+Assumptions!$B$26)^(3-0.5*Assumptions!$B$32)</f>
        <v>0.8047014175309318</v>
      </c>
      <c r="E14" s="21">
        <f>1/(1+Assumptions!$B$26)^(4-0.5*Assumptions!$B$32)</f>
        <v>0.7377150999277334</v>
      </c>
      <c r="F14" s="21">
        <f>1/(1+Assumptions!$B$26)^(5-0.5*Assumptions!$B$32)</f>
        <v>0.6763049707694423</v>
      </c>
      <c r="G14" s="21">
        <f>1/(1+Assumptions!$B$26)^(6-0.5*Assumptions!$B$32)</f>
        <v>0.6200068475381106</v>
      </c>
      <c r="H14" s="21">
        <f>1/(1+Assumptions!$B$26)^(7-0.5*Assumptions!$B$32)</f>
        <v>0.5683951879827213</v>
      </c>
      <c r="I14" s="21">
        <f>1/(1+Assumptions!$B$26)^(8-0.5*Assumptions!$B$32)</f>
        <v>0.5210798735606775</v>
      </c>
      <c r="J14" s="21">
        <f>1/(1+Assumptions!$B$26)^(9-0.5*Assumptions!$B$32)</f>
        <v>0.47770326063750185</v>
      </c>
      <c r="K14" s="21">
        <f>1/(1+Assumptions!$B$26)^(10-0.5*Assumptions!$B$32)</f>
        <v>0.43793747715555936</v>
      </c>
    </row>
    <row r="15" spans="1:11" x14ac:dyDescent="0.25">
      <c r="A15" s="19" t="s">
        <v>58</v>
      </c>
      <c r="B15" s="20">
        <f>B13*B14</f>
        <v>2150768822.941649</v>
      </c>
      <c r="C15" s="20">
        <f>C13*C14</f>
        <v>2893972407.2537584</v>
      </c>
      <c r="D15" s="20">
        <f>D13*D14</f>
        <v>2811319963.6144404</v>
      </c>
      <c r="E15" s="20">
        <f>E13*E14</f>
        <v>2716489859.0146823</v>
      </c>
      <c r="F15" s="20">
        <f>F13*F14</f>
        <v>2610816084.9183145</v>
      </c>
      <c r="G15" s="20">
        <f>G13*G14</f>
        <v>2495762180.605731</v>
      </c>
      <c r="H15" s="20">
        <f>H13*H14</f>
        <v>2372887136.274582</v>
      </c>
      <c r="I15" s="20">
        <f>I13*I14</f>
        <v>2243809831.911993</v>
      </c>
      <c r="J15" s="20">
        <f>J13*J14</f>
        <v>2110173159.7014813</v>
      </c>
      <c r="K15" s="20">
        <f>K13*K14</f>
        <v>1973608954.8694088</v>
      </c>
    </row>
    <row r="17" spans="1:2" x14ac:dyDescent="0.25">
      <c r="A17" s="22" t="s">
        <v>59</v>
      </c>
      <c r="B17" s="23">
        <f>SUM(B15:K15)</f>
        <v>24379608401.106037</v>
      </c>
    </row>
    <row r="19" spans="1:11" x14ac:dyDescent="0.25">
      <c r="A19" t="s">
        <v>7</v>
      </c>
      <c r="B19" s="9">
        <f>Assumptions!$B$10+($B$20-Assumptions!$B$10)*0/9</f>
        <v>0.047490858116687226</v>
      </c>
      <c r="C19" s="9">
        <f>Assumptions!$B$10+($B$20-Assumptions!$B$10)*1/9</f>
        <v>0.04943114259338445</v>
      </c>
      <c r="D19" s="9">
        <f>Assumptions!$B$10+($B$20-Assumptions!$B$10)*2/9</f>
        <v>0.051371427070081674</v>
      </c>
      <c r="E19" s="9">
        <f>Assumptions!$B$10+($B$20-Assumptions!$B$10)*3/9</f>
        <v>0.0533117115467789</v>
      </c>
      <c r="F19" s="9">
        <f>Assumptions!$B$10+($B$20-Assumptions!$B$10)*4/9</f>
        <v>0.05525199602347612</v>
      </c>
      <c r="G19" s="9">
        <f>Assumptions!$B$10+($B$20-Assumptions!$B$10)*5/9</f>
        <v>0.057192280500173345</v>
      </c>
      <c r="H19" s="9">
        <f>Assumptions!$B$10+($B$20-Assumptions!$B$10)*6/9</f>
        <v>0.05913256497687057</v>
      </c>
      <c r="I19" s="9">
        <f>Assumptions!$B$10+($B$20-Assumptions!$B$10)*7/9</f>
        <v>0.06107284945356779</v>
      </c>
      <c r="J19" s="9">
        <f>Assumptions!$B$10+($B$20-Assumptions!$B$10)*8/9</f>
        <v>0.06301313393026502</v>
      </c>
      <c r="K19" s="9">
        <f>Assumptions!$B$10+($B$20-Assumptions!$B$10)*9/9</f>
        <v>0.06495341840696224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0.06495341840696224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4506599818.056597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5551848161.167903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0.16304750965888848</v>
      </c>
    </row>
    <row r="7" spans="1:2" x14ac:dyDescent="0.25">
      <c r="A7" t="s">
        <v>66</v>
      </c>
      <c r="B7" s="18">
        <f>-MAX(B5,0)*B6</f>
        <v>-905215016.6827059</v>
      </c>
    </row>
    <row r="8" spans="1:2" x14ac:dyDescent="0.25">
      <c r="A8" t="s">
        <v>67</v>
      </c>
      <c r="B8" s="18">
        <f>IF(OR(Assumptions!$B$33=0,Assumptions!B12&lt;=0),B5,MAX(B5+B7,0))</f>
        <v>4646633144.485197</v>
      </c>
    </row>
    <row r="9" spans="1:2" x14ac:dyDescent="0.25">
      <c r="A9" t="s">
        <v>68</v>
      </c>
      <c r="B9" s="18">
        <f>B8*(1+Assumptions!B12)/(Assumptions!B26-Assumptions!B12)</f>
        <v>72380299228.35904</v>
      </c>
    </row>
    <row r="10" spans="1:2" x14ac:dyDescent="0.25">
      <c r="A10" t="s">
        <v>69</v>
      </c>
      <c r="B10" s="18">
        <f>B9/(1+Assumptions!B26)^(10-0.5*Assumptions!B32)</f>
        <v>31698045639.83204</v>
      </c>
    </row>
    <row r="11" spans="1:2" x14ac:dyDescent="0.25">
      <c r="A11" t="s">
        <v>70</v>
      </c>
      <c r="B11" s="18">
        <f>Forecast!B17+B10</f>
        <v>56077654040.93808</v>
      </c>
    </row>
    <row r="12" spans="1:2" x14ac:dyDescent="0.25">
      <c r="A12" t="s">
        <v>71</v>
      </c>
      <c r="B12" s="18">
        <f>-Assumptions!B30</f>
        <v>-4565000000</v>
      </c>
    </row>
    <row r="13" spans="1:2" x14ac:dyDescent="0.25">
      <c r="A13" t="s">
        <v>72</v>
      </c>
      <c r="B13" s="18">
        <f>B11+B12</f>
        <v>51512654040.93808</v>
      </c>
    </row>
    <row r="14" spans="1:2" x14ac:dyDescent="0.25">
      <c r="A14" s="19" t="s">
        <v>73</v>
      </c>
      <c r="B14" s="24">
        <f>B13/Assumptions!B31</f>
        <v>172.28312388273605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7919645017.934509</v>
      </c>
    </row>
    <row r="18" spans="1:2" x14ac:dyDescent="0.25">
      <c r="A18" t="s">
        <v>68</v>
      </c>
      <c r="B18" s="18">
        <f>B17*Assumptions!B13</f>
        <v>123448993096.38718</v>
      </c>
    </row>
    <row r="19" spans="1:2" x14ac:dyDescent="0.25">
      <c r="A19" t="s">
        <v>69</v>
      </c>
      <c r="B19" s="18">
        <f>B18/(1+Assumptions!B26)^(10-0.5*Assumptions!B32)</f>
        <v>54062940594.02586</v>
      </c>
    </row>
    <row r="20" spans="1:2" x14ac:dyDescent="0.25">
      <c r="A20" t="s">
        <v>70</v>
      </c>
      <c r="B20" s="18">
        <f>Forecast!B17+B19</f>
        <v>78442548995.1319</v>
      </c>
    </row>
    <row r="21" spans="1:2" x14ac:dyDescent="0.25">
      <c r="A21" t="s">
        <v>71</v>
      </c>
      <c r="B21" s="18">
        <f>-Assumptions!B30</f>
        <v>-4565000000</v>
      </c>
    </row>
    <row r="22" spans="1:2" x14ac:dyDescent="0.25">
      <c r="A22" t="s">
        <v>72</v>
      </c>
      <c r="B22" s="18">
        <f>B20+B21</f>
        <v>73877548995.1319</v>
      </c>
    </row>
    <row r="23" spans="1:2" x14ac:dyDescent="0.25">
      <c r="A23" s="19" t="s">
        <v>73</v>
      </c>
      <c r="B23" s="25">
        <f>B22/Assumptions!B31</f>
        <v>247.08210366264848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213.03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172.28312388273605</v>
      </c>
    </row>
    <row r="29" spans="1:2" x14ac:dyDescent="0.25">
      <c r="A29" s="19" t="s">
        <v>81</v>
      </c>
      <c r="B29" s="11">
        <f>B28/B26-1</f>
        <v>-0.1912729480226445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0.070802</v>
      </c>
      <c r="B5" s="31">
        <v>236.47260814777897</v>
      </c>
      <c r="C5" s="31">
        <v>244.90939693786095</v>
      </c>
      <c r="D5" s="31">
        <v>255.49781019694626</v>
      </c>
      <c r="E5" s="31">
        <v>269.028847558265</v>
      </c>
      <c r="F5" s="31">
        <v>286.7353832057592</v>
      </c>
    </row>
    <row r="6" spans="1:6" x14ac:dyDescent="0.25">
      <c r="A6" s="30">
        <v>0.080802</v>
      </c>
      <c r="B6" s="31">
        <v>196.7294950451142</v>
      </c>
      <c r="C6" s="31">
        <v>201.05938502062108</v>
      </c>
      <c r="D6" s="31">
        <v>206.4054408712472</v>
      </c>
      <c r="E6" s="31">
        <v>213.0676997633796</v>
      </c>
      <c r="F6" s="31">
        <v>221.47721373890712</v>
      </c>
    </row>
    <row r="7" spans="1:6" x14ac:dyDescent="0.25">
      <c r="A7" s="30">
        <v>0.090802</v>
      </c>
      <c r="B7" s="31">
        <v>167.56901541618436</v>
      </c>
      <c r="C7" s="31">
        <v>169.67061659689153</v>
      </c>
      <c r="D7" s="32">
        <v>172.28434311542188</v>
      </c>
      <c r="E7" s="31">
        <v>175.53653752740428</v>
      </c>
      <c r="F7" s="31">
        <v>179.5988248355587</v>
      </c>
    </row>
    <row r="8" spans="1:6" x14ac:dyDescent="0.25">
      <c r="A8" s="30">
        <v>0.100802</v>
      </c>
      <c r="B8" s="31">
        <v>145.28443135768796</v>
      </c>
      <c r="C8" s="31">
        <v>146.1113905264098</v>
      </c>
      <c r="D8" s="31">
        <v>147.20587764798856</v>
      </c>
      <c r="E8" s="31">
        <v>148.62457077237843</v>
      </c>
      <c r="F8" s="31">
        <v>150.4413747967279</v>
      </c>
    </row>
    <row r="9" spans="1:6" x14ac:dyDescent="0.25">
      <c r="A9" s="30">
        <v>0.110802</v>
      </c>
      <c r="B9" s="31">
        <v>127.71720593835437</v>
      </c>
      <c r="C9" s="31">
        <v>127.79077633659634</v>
      </c>
      <c r="D9" s="31">
        <v>128.0055685823242</v>
      </c>
      <c r="E9" s="31">
        <v>128.3877989537526</v>
      </c>
      <c r="F9" s="31">
        <v>128.9706007703916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17262000000</v>
      </c>
      <c r="C5" s="18">
        <v>15845000000</v>
      </c>
      <c r="D5" s="18">
        <v>16034000000</v>
      </c>
      <c r="E5" s="18">
        <v>16281000000</v>
      </c>
      <c r="F5" s="6" t="s">
        <v>91</v>
      </c>
    </row>
    <row r="6" spans="1:6" x14ac:dyDescent="0.25">
      <c r="A6" t="s">
        <v>51</v>
      </c>
      <c r="B6" s="18">
        <v>3384000000</v>
      </c>
      <c r="C6" s="18">
        <v>2983000000</v>
      </c>
      <c r="D6" s="18">
        <v>2677000000</v>
      </c>
      <c r="E6" s="18">
        <v>2942000000</v>
      </c>
      <c r="F6" s="6" t="s">
        <v>92</v>
      </c>
    </row>
    <row r="7" spans="1:6" x14ac:dyDescent="0.25">
      <c r="A7" t="s">
        <v>93</v>
      </c>
      <c r="B7" s="18">
        <v>838000000</v>
      </c>
      <c r="C7" s="18">
        <v>826000000</v>
      </c>
      <c r="D7" s="18">
        <v>794000000</v>
      </c>
      <c r="E7" s="18">
        <v>785000000</v>
      </c>
      <c r="F7" s="6" t="s">
        <v>94</v>
      </c>
    </row>
    <row r="8" spans="1:6" x14ac:dyDescent="0.25">
      <c r="A8" t="s">
        <v>95</v>
      </c>
      <c r="B8" s="18">
        <v>936000000</v>
      </c>
      <c r="C8" s="18">
        <v>680000000</v>
      </c>
      <c r="D8" s="18">
        <v>732000000</v>
      </c>
      <c r="E8" s="18">
        <v>768000000</v>
      </c>
      <c r="F8" s="6" t="s">
        <v>96</v>
      </c>
    </row>
    <row r="9" spans="1:6" x14ac:dyDescent="0.25">
      <c r="A9" t="s">
        <v>97</v>
      </c>
      <c r="B9" s="18">
        <v>-88000000</v>
      </c>
      <c r="C9" s="18">
        <v>143000000</v>
      </c>
      <c r="D9" s="18">
        <v>-8000000</v>
      </c>
      <c r="E9" s="18">
        <v>940000000</v>
      </c>
      <c r="F9" s="6" t="s">
        <v>98</v>
      </c>
    </row>
    <row r="10" spans="1:6" x14ac:dyDescent="0.25">
      <c r="A10" t="s">
        <v>99</v>
      </c>
      <c r="B10" s="18">
        <v>5820000000</v>
      </c>
      <c r="C10" s="18">
        <v>4331000000</v>
      </c>
      <c r="D10" s="18">
        <v>4329000000</v>
      </c>
      <c r="E10" s="18">
        <v>4332000000</v>
      </c>
      <c r="F10" s="6" t="s">
        <v>100</v>
      </c>
    </row>
    <row r="11" spans="1:6" x14ac:dyDescent="0.25">
      <c r="A11" t="s">
        <v>101</v>
      </c>
      <c r="B11" s="18">
        <v>1255000000</v>
      </c>
      <c r="C11" s="18">
        <v>1319000000</v>
      </c>
      <c r="D11" s="18">
        <v>1661000000</v>
      </c>
      <c r="E11" s="18">
        <v>1088000000</v>
      </c>
      <c r="F11" s="6" t="s">
        <v>102</v>
      </c>
    </row>
    <row r="12" spans="1:6" x14ac:dyDescent="0.25">
      <c r="A12" t="s">
        <v>34</v>
      </c>
      <c r="B12" s="34">
        <v>299000000</v>
      </c>
      <c r="C12" s="34">
        <v>309000000</v>
      </c>
      <c r="D12" s="34">
        <v>317000000</v>
      </c>
      <c r="E12" s="34">
        <v>325000000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