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<sst xmlns="http://schemas.openxmlformats.org/spreadsheetml/2006/main" count="112" uniqueCount="100">
  <si>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Tele2 AB (publ) (TEL2-B.ST)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</si>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</sst>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0.020750419824782096</v>
      </c>
    </row>
    <row r="7" spans="1:2" x14ac:dyDescent="0.25">
      <c r="A7" t="s">
        <v>5</v>
      </c>
      <c r="B7" s="6">
        <v>0.2031743333525804</v>
      </c>
    </row>
    <row r="8" spans="1:2" x14ac:dyDescent="0.25">
      <c r="A8" t="s">
        <v>6</v>
      </c>
      <c r="B8" s="6">
        <v>0.1887344980125498</v>
      </c>
    </row>
    <row r="9" spans="1:2" x14ac:dyDescent="0.25">
      <c r="A9" t="s">
        <v>7</v>
      </c>
      <c r="B9" s="6">
        <v>0.2099194361074685</v>
      </c>
    </row>
    <row r="10" spans="1:2" x14ac:dyDescent="0.25">
      <c r="A10" t="s">
        <v>8</v>
      </c>
      <c r="B10" s="6">
        <v>0.1314114584598238</v>
      </c>
    </row>
    <row r="11" spans="1:2" x14ac:dyDescent="0.25">
      <c r="A11" t="s">
        <v>9</v>
      </c>
      <c r="B11" s="6">
        <v>-0.15734989648033126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11.009350107883817</v>
      </c>
    </row>
    <row r="14" spans="1:3" x14ac:dyDescent="0.25">
      <c r="A14" t="s">
        <v>12</v>
      </c>
      <c r="B14" s="6">
        <v>0.09616082610780582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0.54708</v>
      </c>
      <c r="C19" s="8" t="s">
        <v>19</v>
      </c>
    </row>
    <row r="20" spans="1:2" x14ac:dyDescent="0.25">
      <c r="A20" t="s">
        <v>20</v>
      </c>
      <c r="B20" s="10">
        <f>B17+B19*B18</f>
        <v>0.0775602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117316935680</v>
      </c>
    </row>
    <row r="23" spans="1:2" x14ac:dyDescent="0.25">
      <c r="A23" t="s">
        <v>24</v>
      </c>
      <c r="B23" s="11">
        <v>28873000000</v>
      </c>
    </row>
    <row r="24" spans="1:2" x14ac:dyDescent="0.25">
      <c r="A24" t="s">
        <v>25</v>
      </c>
      <c r="B24" s="10">
        <f>B22/(B22+B23)</f>
        <v>0.8024966639071442</v>
      </c>
    </row>
    <row r="25" spans="1:2" x14ac:dyDescent="0.25">
      <c r="A25" t="s">
        <v>26</v>
      </c>
      <c r="B25" s="10">
        <f>1-B24</f>
        <v>0.19750333609285575</v>
      </c>
    </row>
    <row r="26" spans="1:2" x14ac:dyDescent="0.25">
      <c r="A26" t="s">
        <v>27</v>
      </c>
      <c r="B26" s="12">
        <f>B24*B20+B25*B21*(1-B8)</f>
        <v>0.06897136276215268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29889000000</v>
      </c>
      <c r="C29" s="8" t="s">
        <v>30</v>
      </c>
    </row>
    <row r="30" spans="1:2" x14ac:dyDescent="0.25">
      <c r="A30" t="s">
        <v>31</v>
      </c>
      <c r="B30" s="11">
        <v>28612000000</v>
      </c>
    </row>
    <row r="31" spans="1:2" x14ac:dyDescent="0.25">
      <c r="A31" t="s">
        <v>32</v>
      </c>
      <c r="B31" s="13">
        <v>696865020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0.020750419824782096</v>
      </c>
      <c r="C5" s="10">
        <f>Assumptions!B6</f>
        <v>0.020750419824782096</v>
      </c>
      <c r="D5" s="10">
        <f>Assumptions!B6</f>
        <v>0.020750419824782096</v>
      </c>
      <c r="E5" s="10">
        <f>Assumptions!B6</f>
        <v>0.020750419824782096</v>
      </c>
      <c r="F5" s="10">
        <f>Assumptions!B6</f>
        <v>0.020750419824782096</v>
      </c>
    </row>
    <row r="6" spans="1:6" x14ac:dyDescent="0.25">
      <c r="A6" t="s">
        <v>43</v>
      </c>
      <c r="B6" s="18">
        <f>Assumptions!B29*(1+B5)</f>
        <v>30509209298.142914</v>
      </c>
      <c r="C6" s="18">
        <f>B6*(1+C5)</f>
        <v>31142288199.601524</v>
      </c>
      <c r="D6" s="18">
        <f>C6*(1+D5)</f>
        <v>31788503754.047615</v>
      </c>
      <c r="E6" s="18">
        <f>D6*(1+E5)</f>
        <v>32448128552.545765</v>
      </c>
      <c r="F6" s="18">
        <f>E6*(1+F5)</f>
        <v>33121440842.53959</v>
      </c>
    </row>
    <row r="7" spans="1:6" x14ac:dyDescent="0.25">
      <c r="A7" t="s">
        <v>5</v>
      </c>
      <c r="B7" s="10">
        <f>Assumptions!B7</f>
        <v>0.2031743333525804</v>
      </c>
      <c r="C7" s="10">
        <f>Assumptions!B7</f>
        <v>0.2031743333525804</v>
      </c>
      <c r="D7" s="10">
        <f>Assumptions!B7</f>
        <v>0.2031743333525804</v>
      </c>
      <c r="E7" s="10">
        <f>Assumptions!B7</f>
        <v>0.2031743333525804</v>
      </c>
      <c r="F7" s="10">
        <f>Assumptions!B7</f>
        <v>0.2031743333525804</v>
      </c>
    </row>
    <row r="8" spans="1:6" x14ac:dyDescent="0.25">
      <c r="A8" t="s">
        <v>44</v>
      </c>
      <c r="B8" s="18">
        <f>B6*B7</f>
        <v>6198688260.264534</v>
      </c>
      <c r="C8" s="18">
        <f>C6*C7</f>
        <v>6327313644.027971</v>
      </c>
      <c r="D8" s="18">
        <f>D6*D7</f>
        <v>6458608058.504623</v>
      </c>
      <c r="E8" s="18">
        <f>E6*E7</f>
        <v>6592626887.202315</v>
      </c>
      <c r="F8" s="18">
        <f>F6*F7</f>
        <v>6729426662.85991</v>
      </c>
    </row>
    <row r="9" spans="1:6" x14ac:dyDescent="0.25">
      <c r="A9" t="s">
        <v>45</v>
      </c>
      <c r="B9" s="18">
        <f>B8*(1-Assumptions!B8)</f>
        <v>5028781943.127221</v>
      </c>
      <c r="C9" s="18">
        <f>C8*(1-Assumptions!B8)</f>
        <v>5133131279.654395</v>
      </c>
      <c r="D9" s="18">
        <f>D8*(1-Assumptions!B8)</f>
        <v>5239645908.722944</v>
      </c>
      <c r="E9" s="18">
        <f>E8*(1-Assumptions!B8)</f>
        <v>5348370761.062147</v>
      </c>
      <c r="F9" s="18">
        <f>F8*(1-Assumptions!B8)</f>
        <v>5459351699.732777</v>
      </c>
    </row>
    <row r="10" spans="1:6" x14ac:dyDescent="0.25">
      <c r="A10" t="s">
        <v>46</v>
      </c>
      <c r="B10" s="18">
        <f>B6*Assumptions!B9</f>
        <v>6404476011.950895</v>
      </c>
      <c r="C10" s="18">
        <f>C6*Assumptions!B9</f>
        <v>6537371577.956622</v>
      </c>
      <c r="D10" s="18">
        <f>D6*Assumptions!B9</f>
        <v>6673024782.749821</v>
      </c>
      <c r="E10" s="18">
        <f>E6*Assumptions!B9</f>
        <v>6811492848.493054</v>
      </c>
      <c r="F10" s="18">
        <f>F6*Assumptions!B9</f>
        <v>6952834184.732787</v>
      </c>
    </row>
    <row r="11" spans="1:6" x14ac:dyDescent="0.25">
      <c r="A11" t="s">
        <v>47</v>
      </c>
      <c r="B11" s="18">
        <f>-B6*Assumptions!B10</f>
        <v>-4009259690.3249774</v>
      </c>
      <c r="C11" s="18">
        <f>-C6*Assumptions!B10</f>
        <v>-4092453512.085797</v>
      </c>
      <c r="D11" s="18">
        <f>-D6*Assumptions!B10</f>
        <v>-4177373640.574981</v>
      </c>
      <c r="E11" s="18">
        <f>-E6*Assumptions!B10</f>
        <v>-4264055897.3818903</v>
      </c>
      <c r="F11" s="18">
        <f>-F6*Assumptions!B10</f>
        <v>-4352536847.408902</v>
      </c>
    </row>
    <row r="12" spans="1:6" x14ac:dyDescent="0.25">
      <c r="A12" t="s">
        <v>48</v>
      </c>
      <c r="B12" s="18">
        <f>-(B6-Assumptions!B29)*Assumptions!B11</f>
        <v>97589868.8589264</v>
      </c>
      <c r="C12" s="18">
        <f>-(C6-B6)*Assumptions!B11</f>
        <v>99614899.6083942</v>
      </c>
      <c r="D12" s="18">
        <f>-(D6-C6)*Assumptions!B11</f>
        <v>101681950.59607224</v>
      </c>
      <c r="E12" s="18">
        <f>-(E6-D6)*Assumptions!B11</f>
        <v>103791893.75954325</v>
      </c>
      <c r="F12" s="18">
        <f>-(F6-E6)*Assumptions!B11</f>
        <v>105945619.12946299</v>
      </c>
    </row>
    <row r="13" spans="1:6" x14ac:dyDescent="0.25">
      <c r="A13" s="19" t="s">
        <v>49</v>
      </c>
      <c r="B13" s="20">
        <f>B9+B10+B11+B12</f>
        <v>7521588133.612066</v>
      </c>
      <c r="C13" s="20">
        <f>C9+C10+C11+C12</f>
        <v>7677664245.1336155</v>
      </c>
      <c r="D13" s="20">
        <f>D9+D10+D11+D12</f>
        <v>7836979001.493855</v>
      </c>
      <c r="E13" s="20">
        <f>E9+E10+E11+E12</f>
        <v>7999599605.932856</v>
      </c>
      <c r="F13" s="20">
        <f>F9+F10+F11+F12</f>
        <v>8165594656.186126</v>
      </c>
    </row>
    <row r="14" spans="1:6" x14ac:dyDescent="0.25">
      <c r="A14" t="s">
        <v>50</v>
      </c>
      <c r="B14" s="21">
        <f>1/(1+Assumptions!$B$26)^(1-0.5*Assumptions!$B$32)</f>
        <v>0.9672015071352481</v>
      </c>
      <c r="C14" s="21">
        <f>1/(1+Assumptions!$B$26)^(2-0.5*Assumptions!$B$32)</f>
        <v>0.904796462120428</v>
      </c>
      <c r="D14" s="21">
        <f>1/(1+Assumptions!$B$26)^(3-0.5*Assumptions!$B$32)</f>
        <v>0.8464178682789897</v>
      </c>
      <c r="E14" s="21">
        <f>1/(1+Assumptions!$B$26)^(4-0.5*Assumptions!$B$32)</f>
        <v>0.7918059339699249</v>
      </c>
      <c r="F14" s="21">
        <f>1/(1+Assumptions!$B$26)^(5-0.5*Assumptions!$B$32)</f>
        <v>0.740717629632238</v>
      </c>
    </row>
    <row r="15" spans="1:6" x14ac:dyDescent="0.25">
      <c r="A15" s="19" t="s">
        <v>51</v>
      </c>
      <c r="B15" s="20">
        <f>B13*B14</f>
        <v>7274891378.880188</v>
      </c>
      <c r="C15" s="20">
        <f>C13*C14</f>
        <v>6946723446.345402</v>
      </c>
      <c r="D15" s="20">
        <f>D13*D14</f>
        <v>6633359060.191634</v>
      </c>
      <c r="E15" s="20">
        <f>E13*E14</f>
        <v>6334130437.361108</v>
      </c>
      <c r="F15" s="20">
        <f>F13*F14</f>
        <v>6048399918.267857</v>
      </c>
    </row>
    <row r="17" spans="1:2" x14ac:dyDescent="0.25">
      <c r="A17" s="22" t="s">
        <v>52</v>
      </c>
      <c r="B17" s="23">
        <f>SUM(B15:F15)</f>
        <v>33237504241.04619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8165594656.186126</v>
      </c>
    </row>
    <row r="5" spans="1:2" x14ac:dyDescent="0.25">
      <c r="A5" t="s">
        <v>56</v>
      </c>
      <c r="B5" s="18">
        <f>IF(Assumptions!$B$33=0,B4,B4-Forecast!F11-Forecast!F10-Forecast!F12)</f>
        <v>6510546257.929166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0.2599811275744711</v>
      </c>
    </row>
    <row r="7" spans="1:2" x14ac:dyDescent="0.25">
      <c r="A7" t="s">
        <v>58</v>
      </c>
      <c r="B7" s="18">
        <f>-MAX(Forecast!F9,0)*B6</f>
        <v>-1692619157.262178</v>
      </c>
    </row>
    <row r="8" spans="1:2" x14ac:dyDescent="0.25">
      <c r="A8" t="s">
        <v>59</v>
      </c>
      <c r="B8" s="18">
        <f>IF(OR(Assumptions!$B$33=0,Assumptions!B12&lt;=0),B5,MAX(B5+B7,0))</f>
        <v>4817927100.666988</v>
      </c>
    </row>
    <row r="9" spans="1:2" x14ac:dyDescent="0.25">
      <c r="A9" t="s">
        <v>60</v>
      </c>
      <c r="B9" s="18">
        <f>B8*(1+Assumptions!B12)/(Assumptions!B26-Assumptions!B12)</f>
        <v>112308897609.01959</v>
      </c>
    </row>
    <row r="10" spans="1:2" x14ac:dyDescent="0.25">
      <c r="A10" t="s">
        <v>61</v>
      </c>
      <c r="B10" s="18">
        <f>B9/(1+Assumptions!B26)^(5-0.5*Assumptions!B32)</f>
        <v>83189180423.56271</v>
      </c>
    </row>
    <row r="11" spans="1:2" x14ac:dyDescent="0.25">
      <c r="A11" t="s">
        <v>62</v>
      </c>
      <c r="B11" s="18">
        <f>Forecast!B17+B10</f>
        <v>116426684664.6089</v>
      </c>
    </row>
    <row r="12" spans="1:2" x14ac:dyDescent="0.25">
      <c r="A12" t="s">
        <v>63</v>
      </c>
      <c r="B12" s="18">
        <f>-Assumptions!B30</f>
        <v>-28612000000</v>
      </c>
    </row>
    <row r="13" spans="1:2" x14ac:dyDescent="0.25">
      <c r="A13" t="s">
        <v>64</v>
      </c>
      <c r="B13" s="18">
        <f>B11+B12</f>
        <v>87814684664.6089</v>
      </c>
    </row>
    <row r="14" spans="1:2" x14ac:dyDescent="0.25">
      <c r="A14" s="19" t="s">
        <v>65</v>
      </c>
      <c r="B14" s="24">
        <f>B13/Assumptions!B31</f>
        <v>126.01390820938164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13682260847.592697</v>
      </c>
    </row>
    <row r="18" spans="1:2" x14ac:dyDescent="0.25">
      <c r="A18" t="s">
        <v>60</v>
      </c>
      <c r="B18" s="18">
        <f>B17*Assumptions!B13</f>
        <v>150632799938.53918</v>
      </c>
    </row>
    <row r="19" spans="1:2" x14ac:dyDescent="0.25">
      <c r="A19" t="s">
        <v>61</v>
      </c>
      <c r="B19" s="18">
        <f>B18/(1+Assumptions!B26)^(5-0.5*Assumptions!B32)</f>
        <v>111576370515.34187</v>
      </c>
    </row>
    <row r="20" spans="1:2" x14ac:dyDescent="0.25">
      <c r="A20" t="s">
        <v>62</v>
      </c>
      <c r="B20" s="18">
        <f>Forecast!B17+B19</f>
        <v>144813874756.38806</v>
      </c>
    </row>
    <row r="21" spans="1:2" x14ac:dyDescent="0.25">
      <c r="A21" t="s">
        <v>63</v>
      </c>
      <c r="B21" s="18">
        <f>-Assumptions!B30</f>
        <v>-28612000000</v>
      </c>
    </row>
    <row r="22" spans="1:2" x14ac:dyDescent="0.25">
      <c r="A22" t="s">
        <v>64</v>
      </c>
      <c r="B22" s="18">
        <f>B20+B21</f>
        <v>116201874756.38806</v>
      </c>
    </row>
    <row r="23" spans="1:2" x14ac:dyDescent="0.25">
      <c r="A23" s="19" t="s">
        <v>65</v>
      </c>
      <c r="B23" s="25">
        <f>B22/Assumptions!B31</f>
        <v>166.74947288412906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168.5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126.01390820938164</v>
      </c>
    </row>
    <row r="29" spans="1:2" x14ac:dyDescent="0.25">
      <c r="A29" s="19" t="s">
        <v>73</v>
      </c>
      <c r="B29" s="12">
        <f>B28/B26-1</f>
        <v>-0.2521429779858656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0.048971</v>
      </c>
      <c r="B5" s="31">
        <v>198.86809095023384</v>
      </c>
      <c r="C5" s="31">
        <v>218.9634088319271</v>
      </c>
      <c r="D5" s="31">
        <v>247.2784804041813</v>
      </c>
      <c r="E5" s="31">
        <v>290.3125047265301</v>
      </c>
      <c r="F5" s="31">
        <v>363.8685231883815</v>
      </c>
    </row>
    <row r="6" spans="1:6" x14ac:dyDescent="0.25">
      <c r="A6" s="30">
        <v>0.058971</v>
      </c>
      <c r="B6" s="31">
        <v>148.38317735147757</v>
      </c>
      <c r="C6" s="31">
        <v>157.38560541887946</v>
      </c>
      <c r="D6" s="31">
        <v>168.92756888889122</v>
      </c>
      <c r="E6" s="31">
        <v>184.32393542362828</v>
      </c>
      <c r="F6" s="31">
        <v>205.9866213374237</v>
      </c>
    </row>
    <row r="7" spans="1:6" x14ac:dyDescent="0.25">
      <c r="A7" s="30">
        <v>0.068971</v>
      </c>
      <c r="B7" s="31">
        <v>116.48153264944821</v>
      </c>
      <c r="C7" s="31">
        <v>120.7983670213647</v>
      </c>
      <c r="D7" s="32">
        <v>126.01511434126255</v>
      </c>
      <c r="E7" s="31">
        <v>132.4781525368244</v>
      </c>
      <c r="F7" s="31">
        <v>140.73778519449044</v>
      </c>
    </row>
    <row r="8" spans="1:6" x14ac:dyDescent="0.25">
      <c r="A8" s="30">
        <v>0.078971</v>
      </c>
      <c r="B8" s="31">
        <v>94.45440390999676</v>
      </c>
      <c r="C8" s="31">
        <v>96.49597473926042</v>
      </c>
      <c r="D8" s="31">
        <v>98.85188275851695</v>
      </c>
      <c r="E8" s="31">
        <v>101.61841062178391</v>
      </c>
      <c r="F8" s="31">
        <v>104.93563468984807</v>
      </c>
    </row>
    <row r="9" spans="1:6" x14ac:dyDescent="0.25">
      <c r="A9" s="30">
        <v>0.088971</v>
      </c>
      <c r="B9" s="31">
        <v>78.30196098652803</v>
      </c>
      <c r="C9" s="31">
        <v>79.14100271028963</v>
      </c>
      <c r="D9" s="31">
        <v>80.05945727200438</v>
      </c>
      <c r="E9" s="31">
        <v>81.07752430486991</v>
      </c>
      <c r="F9" s="31">
        <v>82.22288880763112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29889000000</v>
      </c>
      <c r="C5" s="18">
        <v>29582000000</v>
      </c>
      <c r="D5" s="18">
        <v>29099000000</v>
      </c>
      <c r="E5" s="18">
        <v>28103000000</v>
      </c>
      <c r="F5" s="8" t="s">
        <v>84</v>
      </c>
    </row>
    <row r="6" spans="1:6" x14ac:dyDescent="0.25">
      <c r="A6" t="s">
        <v>44</v>
      </c>
      <c r="B6" s="18">
        <v>7066000000</v>
      </c>
      <c r="C6" s="18">
        <v>6074000000</v>
      </c>
      <c r="D6" s="18">
        <v>5547000000</v>
      </c>
      <c r="E6" s="18">
        <v>5068000000</v>
      </c>
      <c r="F6" s="8" t="s">
        <v>85</v>
      </c>
    </row>
    <row r="7" spans="1:6" x14ac:dyDescent="0.25">
      <c r="A7" t="s">
        <v>86</v>
      </c>
      <c r="B7" s="18">
        <v>6189000000</v>
      </c>
      <c r="C7" s="18">
        <v>5944000000</v>
      </c>
      <c r="D7" s="18">
        <v>6151000000</v>
      </c>
      <c r="E7" s="18">
        <v>6191000000</v>
      </c>
      <c r="F7" s="8" t="s">
        <v>87</v>
      </c>
    </row>
    <row r="8" spans="1:6" x14ac:dyDescent="0.25">
      <c r="A8" t="s">
        <v>88</v>
      </c>
      <c r="B8" s="18">
        <v>3717000000</v>
      </c>
      <c r="C8" s="18">
        <v>3975000000</v>
      </c>
      <c r="D8" s="18">
        <v>4059000000</v>
      </c>
      <c r="E8" s="18">
        <v>3581000000</v>
      </c>
      <c r="F8" s="8" t="s">
        <v>89</v>
      </c>
    </row>
    <row r="9" spans="1:6" x14ac:dyDescent="0.25">
      <c r="A9" t="s">
        <v>90</v>
      </c>
      <c r="B9" s="18">
        <v>-285000000</v>
      </c>
      <c r="C9" s="18">
        <v>-76000000</v>
      </c>
      <c r="D9" s="18">
        <v>-85000000</v>
      </c>
      <c r="E9" s="18">
        <v>1380000000</v>
      </c>
      <c r="F9" s="8" t="s">
        <v>91</v>
      </c>
    </row>
    <row r="10" spans="1:6" x14ac:dyDescent="0.25">
      <c r="A10" t="s">
        <v>92</v>
      </c>
      <c r="B10" s="18">
        <v>28873000000</v>
      </c>
      <c r="C10" s="18">
        <v>30672000000</v>
      </c>
      <c r="D10" s="18">
        <v>30974000000</v>
      </c>
      <c r="E10" s="18">
        <v>32451000000</v>
      </c>
      <c r="F10" s="8" t="s">
        <v>93</v>
      </c>
    </row>
    <row r="11" spans="1:6" x14ac:dyDescent="0.25">
      <c r="A11" t="s">
        <v>94</v>
      </c>
      <c r="B11" s="18">
        <v>261000000</v>
      </c>
      <c r="C11" s="18">
        <v>191000000</v>
      </c>
      <c r="D11" s="18">
        <v>1644000000</v>
      </c>
      <c r="E11" s="18">
        <v>1142000000</v>
      </c>
      <c r="F11" s="8" t="s">
        <v>95</v>
      </c>
    </row>
    <row r="12" spans="1:6" x14ac:dyDescent="0.25">
      <c r="A12" t="s">
        <v>32</v>
      </c>
      <c r="B12" s="34">
        <v>696865020</v>
      </c>
      <c r="C12" s="34">
        <v>696614894</v>
      </c>
      <c r="D12" s="34">
        <v>695634439</v>
      </c>
      <c r="E12" s="34">
        <v>694353388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2026-09-19T00:08:17Z</dcterms:modified>
</cp:coreProperties>
</file>