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<sst xmlns="http://schemas.openxmlformats.org/spreadsheetml/2006/main" count="112" uniqueCount="100">
  <si>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Telia Company AB (publ) (TELIA.ST)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</si>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</sst>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-0.018239837742353382</v>
      </c>
    </row>
    <row r="7" spans="1:2" x14ac:dyDescent="0.25">
      <c r="A7" t="s">
        <v>5</v>
      </c>
      <c r="B7" s="6">
        <v>0.05154923893296054</v>
      </c>
    </row>
    <row r="8" spans="1:2" x14ac:dyDescent="0.25">
      <c r="A8" t="s">
        <v>6</v>
      </c>
      <c r="B8" s="6">
        <v>0.21061918511389155</v>
      </c>
    </row>
    <row r="9" spans="1:2" x14ac:dyDescent="0.25">
      <c r="A9" t="s">
        <v>7</v>
      </c>
      <c r="B9" s="6">
        <v>0.36059688345751706</v>
      </c>
    </row>
    <row r="10" spans="1:2" x14ac:dyDescent="0.25">
      <c r="A10" t="s">
        <v>8</v>
      </c>
      <c r="B10" s="6">
        <v>0.179260970281576</v>
      </c>
    </row>
    <row r="11" spans="1:2" x14ac:dyDescent="0.25">
      <c r="A11" t="s">
        <v>9</v>
      </c>
      <c r="B11" s="6">
        <v>-0.40771458662453924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7.827609158442846</v>
      </c>
    </row>
    <row r="14" spans="1:3" x14ac:dyDescent="0.25">
      <c r="A14" t="s">
        <v>12</v>
      </c>
      <c r="B14" s="6">
        <v>0.06402610573572347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0.48812</v>
      </c>
      <c r="C19" s="8" t="s">
        <v>19</v>
      </c>
    </row>
    <row r="20" spans="1:2" x14ac:dyDescent="0.25">
      <c r="A20" t="s">
        <v>20</v>
      </c>
      <c r="B20" s="10">
        <f>B17+B19*B18</f>
        <v>0.07372780000000001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180994981888</v>
      </c>
    </row>
    <row r="23" spans="1:2" x14ac:dyDescent="0.25">
      <c r="A23" t="s">
        <v>24</v>
      </c>
      <c r="B23" s="11">
        <v>83444000000</v>
      </c>
    </row>
    <row r="24" spans="1:2" x14ac:dyDescent="0.25">
      <c r="A24" t="s">
        <v>25</v>
      </c>
      <c r="B24" s="10">
        <f>B22/(B22+B23)</f>
        <v>0.6844489439331538</v>
      </c>
    </row>
    <row r="25" spans="1:2" x14ac:dyDescent="0.25">
      <c r="A25" t="s">
        <v>26</v>
      </c>
      <c r="B25" s="10">
        <f>1-B24</f>
        <v>0.3155510560668462</v>
      </c>
    </row>
    <row r="26" spans="1:2" x14ac:dyDescent="0.25">
      <c r="A26" t="s">
        <v>27</v>
      </c>
      <c r="B26" s="12">
        <f>B24*B20+B25*B21*(1-B8)</f>
        <v>0.060924692739115986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80982000000</v>
      </c>
      <c r="C29" s="8" t="s">
        <v>30</v>
      </c>
    </row>
    <row r="30" spans="1:2" x14ac:dyDescent="0.25">
      <c r="A30" t="s">
        <v>31</v>
      </c>
      <c r="B30" s="11">
        <v>71555000000</v>
      </c>
    </row>
    <row r="31" spans="1:2" x14ac:dyDescent="0.25">
      <c r="A31" t="s">
        <v>32</v>
      </c>
      <c r="B31" s="13">
        <v>3932090000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-0.018239837742353382</v>
      </c>
      <c r="C5" s="10">
        <f>Assumptions!B6</f>
        <v>-0.018239837742353382</v>
      </c>
      <c r="D5" s="10">
        <f>Assumptions!B6</f>
        <v>-0.018239837742353382</v>
      </c>
      <c r="E5" s="10">
        <f>Assumptions!B6</f>
        <v>-0.018239837742353382</v>
      </c>
      <c r="F5" s="10">
        <f>Assumptions!B6</f>
        <v>-0.018239837742353382</v>
      </c>
    </row>
    <row r="6" spans="1:6" x14ac:dyDescent="0.25">
      <c r="A6" t="s">
        <v>43</v>
      </c>
      <c r="B6" s="18">
        <f>Assumptions!B29*(1+B5)</f>
        <v>79504901459.94875</v>
      </c>
      <c r="C6" s="18">
        <f>B6*(1+C5)</f>
        <v>78054744957.59749</v>
      </c>
      <c r="D6" s="18">
        <f>C6*(1+D5)</f>
        <v>76631039074.55014</v>
      </c>
      <c r="E6" s="18">
        <f>D6*(1+E5)</f>
        <v>75233301355.8024</v>
      </c>
      <c r="F6" s="18">
        <f>E6*(1+F5)</f>
        <v>73861058146.25099</v>
      </c>
    </row>
    <row r="7" spans="1:6" x14ac:dyDescent="0.25">
      <c r="A7" t="s">
        <v>5</v>
      </c>
      <c r="B7" s="10">
        <f>Assumptions!B7</f>
        <v>0.05154923893296054</v>
      </c>
      <c r="C7" s="10">
        <f>Assumptions!B7</f>
        <v>0.05154923893296054</v>
      </c>
      <c r="D7" s="10">
        <f>Assumptions!B7</f>
        <v>0.05154923893296054</v>
      </c>
      <c r="E7" s="10">
        <f>Assumptions!B7</f>
        <v>0.05154923893296054</v>
      </c>
      <c r="F7" s="10">
        <f>Assumptions!B7</f>
        <v>0.05154923893296054</v>
      </c>
    </row>
    <row r="8" spans="1:6" x14ac:dyDescent="0.25">
      <c r="A8" t="s">
        <v>44</v>
      </c>
      <c r="B8" s="18">
        <f>B6*B7</f>
        <v>4098417161.7003813</v>
      </c>
      <c r="C8" s="18">
        <f>C6*C7</f>
        <v>4023662697.67049</v>
      </c>
      <c r="D8" s="18">
        <f>D6*D7</f>
        <v>3950271742.9350204</v>
      </c>
      <c r="E8" s="18">
        <f>E6*E7</f>
        <v>3878219427.3056817</v>
      </c>
      <c r="F8" s="18">
        <f>F6*F7</f>
        <v>3807481334.222384</v>
      </c>
    </row>
    <row r="9" spans="1:6" x14ac:dyDescent="0.25">
      <c r="A9" t="s">
        <v>45</v>
      </c>
      <c r="B9" s="18">
        <f>B8*(1-Assumptions!B8)</f>
        <v>3235211878.8462586</v>
      </c>
      <c r="C9" s="18">
        <f>C8*(1-Assumptions!B8)</f>
        <v>3176202139.113969</v>
      </c>
      <c r="D9" s="18">
        <f>D8*(1-Assumptions!B8)</f>
        <v>3118268727.4596143</v>
      </c>
      <c r="E9" s="18">
        <f>E8*(1-Assumptions!B8)</f>
        <v>3061392011.833696</v>
      </c>
      <c r="F9" s="18">
        <f>F8*(1-Assumptions!B8)</f>
        <v>3005552718.272113</v>
      </c>
    </row>
    <row r="10" spans="1:6" x14ac:dyDescent="0.25">
      <c r="A10" t="s">
        <v>46</v>
      </c>
      <c r="B10" s="18">
        <f>B6*Assumptions!B9</f>
        <v>28669219686.054516</v>
      </c>
      <c r="C10" s="18">
        <f>C6*Assumptions!B9</f>
        <v>28146297770.781</v>
      </c>
      <c r="D10" s="18">
        <f>D6*Assumptions!B9</f>
        <v>27632913866.393993</v>
      </c>
      <c r="E10" s="18">
        <f>E6*Assumptions!B9</f>
        <v>27128894001.12254</v>
      </c>
      <c r="F10" s="18">
        <f>F6*Assumptions!B9</f>
        <v>26634067376.41256</v>
      </c>
    </row>
    <row r="11" spans="1:6" x14ac:dyDescent="0.25">
      <c r="A11" t="s">
        <v>47</v>
      </c>
      <c r="B11" s="18">
        <f>-B6*Assumptions!B10</f>
        <v>-14252125777.851501</v>
      </c>
      <c r="C11" s="18">
        <f>-C6*Assumptions!B10</f>
        <v>-13992169316.179878</v>
      </c>
      <c r="D11" s="18">
        <f>-D6*Assumptions!B10</f>
        <v>-13736954418.189222</v>
      </c>
      <c r="E11" s="18">
        <f>-E6*Assumptions!B10</f>
        <v>-13486394598.527346</v>
      </c>
      <c r="F11" s="18">
        <f>-F6*Assumptions!B10</f>
        <v>-13240404949.320856</v>
      </c>
    </row>
    <row r="12" spans="1:6" x14ac:dyDescent="0.25">
      <c r="A12" t="s">
        <v>48</v>
      </c>
      <c r="B12" s="18">
        <f>-(B6-Assumptions!B29)*Assumptions!B11</f>
        <v>-602234620.6607076</v>
      </c>
      <c r="C12" s="18">
        <f>-(C6-B6)*Assumptions!B11</f>
        <v>-591249958.8970306</v>
      </c>
      <c r="D12" s="18">
        <f>-(D6-C6)*Assumptions!B11</f>
        <v>-580465655.5815741</v>
      </c>
      <c r="E12" s="18">
        <f>-(E6-D6)*Assumptions!B11</f>
        <v>-569878056.208762</v>
      </c>
      <c r="F12" s="18">
        <f>-(F6-E6)*Assumptions!B11</f>
        <v>-559483572.9305829</v>
      </c>
    </row>
    <row r="13" spans="1:6" x14ac:dyDescent="0.25">
      <c r="A13" s="19" t="s">
        <v>49</v>
      </c>
      <c r="B13" s="20">
        <f>B9+B10+B11+B12</f>
        <v>17050071166.388567</v>
      </c>
      <c r="C13" s="20">
        <f>C9+C10+C11+C12</f>
        <v>16739080634.818058</v>
      </c>
      <c r="D13" s="20">
        <f>D9+D10+D11+D12</f>
        <v>16433762520.082811</v>
      </c>
      <c r="E13" s="20">
        <f>E9+E10+E11+E12</f>
        <v>16134013358.220127</v>
      </c>
      <c r="F13" s="20">
        <f>F9+F10+F11+F12</f>
        <v>15839731572.433235</v>
      </c>
    </row>
    <row r="14" spans="1:6" x14ac:dyDescent="0.25">
      <c r="A14" t="s">
        <v>50</v>
      </c>
      <c r="B14" s="21">
        <f>1/(1+Assumptions!$B$26)^(1-0.5*Assumptions!$B$32)</f>
        <v>0.9708624879278738</v>
      </c>
      <c r="C14" s="21">
        <f>1/(1+Assumptions!$B$26)^(2-0.5*Assumptions!$B$32)</f>
        <v>0.9151097100221901</v>
      </c>
      <c r="D14" s="21">
        <f>1/(1+Assumptions!$B$26)^(3-0.5*Assumptions!$B$32)</f>
        <v>0.8625585927871487</v>
      </c>
      <c r="E14" s="21">
        <f>1/(1+Assumptions!$B$26)^(4-0.5*Assumptions!$B$32)</f>
        <v>0.8130252775625179</v>
      </c>
      <c r="F14" s="21">
        <f>1/(1+Assumptions!$B$26)^(5-0.5*Assumptions!$B$32)</f>
        <v>0.7663364639609183</v>
      </c>
    </row>
    <row r="15" spans="1:6" x14ac:dyDescent="0.25">
      <c r="A15" s="19" t="s">
        <v>51</v>
      </c>
      <c r="B15" s="20">
        <f>B13*B14</f>
        <v>16553274511.94731</v>
      </c>
      <c r="C15" s="20">
        <f>C13*C14</f>
        <v>15318095225.76641</v>
      </c>
      <c r="D15" s="20">
        <f>D13*D14</f>
        <v>14175083073.520817</v>
      </c>
      <c r="E15" s="20">
        <f>E13*E14</f>
        <v>13117360688.76429</v>
      </c>
      <c r="F15" s="20">
        <f>F13*F14</f>
        <v>12138563883.308601</v>
      </c>
    </row>
    <row r="17" spans="1:2" x14ac:dyDescent="0.25">
      <c r="A17" s="22" t="s">
        <v>52</v>
      </c>
      <c r="B17" s="23">
        <f>SUM(B15:F15)</f>
        <v>71302377383.30743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15839731572.433235</v>
      </c>
    </row>
    <row r="5" spans="1:2" x14ac:dyDescent="0.25">
      <c r="A5" t="s">
        <v>56</v>
      </c>
      <c r="B5" s="18">
        <f>IF(Assumptions!$B$33=0,B4,B4-Forecast!F11-Forecast!F10-Forecast!F12)</f>
        <v>6440530572.861024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0.3904657282014141</v>
      </c>
    </row>
    <row r="7" spans="1:2" x14ac:dyDescent="0.25">
      <c r="A7" t="s">
        <v>58</v>
      </c>
      <c r="B7" s="18">
        <f>-MAX(Forecast!F9,0)*B6</f>
        <v>-2514806460.1356506</v>
      </c>
    </row>
    <row r="8" spans="1:2" x14ac:dyDescent="0.25">
      <c r="A8" t="s">
        <v>59</v>
      </c>
      <c r="B8" s="18">
        <f>IF(OR(Assumptions!$B$33=0,Assumptions!B12&lt;=0),B5,MAX(B5+B7,0))</f>
        <v>3925724112.7253733</v>
      </c>
    </row>
    <row r="9" spans="1:2" x14ac:dyDescent="0.25">
      <c r="A9" t="s">
        <v>60</v>
      </c>
      <c r="B9" s="18">
        <f>B8*(1+Assumptions!B12)/(Assumptions!B26-Assumptions!B12)</f>
        <v>112008396140.35692</v>
      </c>
    </row>
    <row r="10" spans="1:2" x14ac:dyDescent="0.25">
      <c r="A10" t="s">
        <v>61</v>
      </c>
      <c r="B10" s="18">
        <f>B9/(1+Assumptions!B26)^(5-0.5*Assumptions!B32)</f>
        <v>85836118232.13489</v>
      </c>
    </row>
    <row r="11" spans="1:2" x14ac:dyDescent="0.25">
      <c r="A11" t="s">
        <v>62</v>
      </c>
      <c r="B11" s="18">
        <f>Forecast!B17+B10</f>
        <v>157138495615.44232</v>
      </c>
    </row>
    <row r="12" spans="1:2" x14ac:dyDescent="0.25">
      <c r="A12" t="s">
        <v>63</v>
      </c>
      <c r="B12" s="18">
        <f>-Assumptions!B30</f>
        <v>-71555000000</v>
      </c>
    </row>
    <row r="13" spans="1:2" x14ac:dyDescent="0.25">
      <c r="A13" t="s">
        <v>64</v>
      </c>
      <c r="B13" s="18">
        <f>B11+B12</f>
        <v>85583495615.44232</v>
      </c>
    </row>
    <row r="14" spans="1:2" x14ac:dyDescent="0.25">
      <c r="A14" s="19" t="s">
        <v>65</v>
      </c>
      <c r="B14" s="24">
        <f>B13/Assumptions!B31</f>
        <v>21.76539591297308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30441548710.634945</v>
      </c>
    </row>
    <row r="18" spans="1:2" x14ac:dyDescent="0.25">
      <c r="A18" t="s">
        <v>60</v>
      </c>
      <c r="B18" s="18">
        <f>B17*Assumptions!B13</f>
        <v>238284545484.5501</v>
      </c>
    </row>
    <row r="19" spans="1:2" x14ac:dyDescent="0.25">
      <c r="A19" t="s">
        <v>61</v>
      </c>
      <c r="B19" s="18">
        <f>B18/(1+Assumptions!B26)^(5-0.5*Assumptions!B32)</f>
        <v>182606136003.16473</v>
      </c>
    </row>
    <row r="20" spans="1:2" x14ac:dyDescent="0.25">
      <c r="A20" t="s">
        <v>62</v>
      </c>
      <c r="B20" s="18">
        <f>Forecast!B17+B19</f>
        <v>253908513386.47217</v>
      </c>
    </row>
    <row r="21" spans="1:2" x14ac:dyDescent="0.25">
      <c r="A21" t="s">
        <v>63</v>
      </c>
      <c r="B21" s="18">
        <f>-Assumptions!B30</f>
        <v>-71555000000</v>
      </c>
    </row>
    <row r="22" spans="1:2" x14ac:dyDescent="0.25">
      <c r="A22" t="s">
        <v>64</v>
      </c>
      <c r="B22" s="18">
        <f>B20+B21</f>
        <v>182353513386.47217</v>
      </c>
    </row>
    <row r="23" spans="1:2" x14ac:dyDescent="0.25">
      <c r="A23" s="19" t="s">
        <v>65</v>
      </c>
      <c r="B23" s="25">
        <f>B22/Assumptions!B31</f>
        <v>46.37572216975506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46.03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21.76539591297308</v>
      </c>
    </row>
    <row r="29" spans="1:2" x14ac:dyDescent="0.25">
      <c r="A29" s="19" t="s">
        <v>73</v>
      </c>
      <c r="B29" s="12">
        <f>B28/B26-1</f>
        <v>-0.5271476012823576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0.040925</v>
      </c>
      <c r="B5" s="31">
        <v>41.76503277757185</v>
      </c>
      <c r="C5" s="31">
        <v>46.605421681260815</v>
      </c>
      <c r="D5" s="31">
        <v>54.41824425055976</v>
      </c>
      <c r="E5" s="31">
        <v>69.28464510644349</v>
      </c>
      <c r="F5" s="31">
        <v>109.06178446811393</v>
      </c>
    </row>
    <row r="6" spans="1:6" x14ac:dyDescent="0.25">
      <c r="A6" s="30">
        <v>0.050925</v>
      </c>
      <c r="B6" s="31">
        <v>28.682388853564547</v>
      </c>
      <c r="C6" s="31">
        <v>30.05236564705776</v>
      </c>
      <c r="D6" s="31">
        <v>31.911324339712817</v>
      </c>
      <c r="E6" s="31">
        <v>34.609789590427134</v>
      </c>
      <c r="F6" s="31">
        <v>38.93850540993151</v>
      </c>
    </row>
    <row r="7" spans="1:6" x14ac:dyDescent="0.25">
      <c r="A7" s="30">
        <v>0.060925</v>
      </c>
      <c r="B7" s="31">
        <v>21.178176798545643</v>
      </c>
      <c r="C7" s="31">
        <v>21.447790840964704</v>
      </c>
      <c r="D7" s="32">
        <v>21.76516844083978</v>
      </c>
      <c r="E7" s="31">
        <v>22.153477047219848</v>
      </c>
      <c r="F7" s="31">
        <v>22.653756779587056</v>
      </c>
    </row>
    <row r="8" spans="1:6" x14ac:dyDescent="0.25">
      <c r="A8" s="30">
        <v>0.070925</v>
      </c>
      <c r="B8" s="31">
        <v>16.76329646690743</v>
      </c>
      <c r="C8" s="31">
        <v>16.848127176518958</v>
      </c>
      <c r="D8" s="31">
        <v>16.932957886130477</v>
      </c>
      <c r="E8" s="31">
        <v>17.01778859574201</v>
      </c>
      <c r="F8" s="31">
        <v>17.10261930535353</v>
      </c>
    </row>
    <row r="9" spans="1:6" x14ac:dyDescent="0.25">
      <c r="A9" s="30">
        <v>0.080925</v>
      </c>
      <c r="B9" s="31">
        <v>13.639055153105517</v>
      </c>
      <c r="C9" s="31">
        <v>13.71035776948198</v>
      </c>
      <c r="D9" s="31">
        <v>13.781660385858435</v>
      </c>
      <c r="E9" s="31">
        <v>13.852963002234896</v>
      </c>
      <c r="F9" s="31">
        <v>13.924265618611354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80982000000</v>
      </c>
      <c r="C5" s="18">
        <v>80965000000</v>
      </c>
      <c r="D5" s="18">
        <v>88561000000</v>
      </c>
      <c r="E5" s="18">
        <v>85580000000</v>
      </c>
      <c r="F5" s="8" t="s">
        <v>84</v>
      </c>
    </row>
    <row r="6" spans="1:6" x14ac:dyDescent="0.25">
      <c r="A6" t="s">
        <v>44</v>
      </c>
      <c r="B6" s="18">
        <v>10167000000</v>
      </c>
      <c r="C6" s="18">
        <v>10652000000</v>
      </c>
      <c r="D6" s="18">
        <v>4964000000</v>
      </c>
      <c r="E6" s="18">
        <v>-9154000000</v>
      </c>
      <c r="F6" s="8" t="s">
        <v>85</v>
      </c>
    </row>
    <row r="7" spans="1:6" x14ac:dyDescent="0.25">
      <c r="A7" t="s">
        <v>86</v>
      </c>
      <c r="B7" s="18">
        <v>22097000000</v>
      </c>
      <c r="C7" s="18">
        <v>25085000000</v>
      </c>
      <c r="D7" s="18">
        <v>30093000000</v>
      </c>
      <c r="E7" s="18">
        <v>44493000000</v>
      </c>
      <c r="F7" s="8" t="s">
        <v>87</v>
      </c>
    </row>
    <row r="8" spans="1:6" x14ac:dyDescent="0.25">
      <c r="A8" t="s">
        <v>88</v>
      </c>
      <c r="B8" s="18">
        <v>14980000000</v>
      </c>
      <c r="C8" s="18">
        <v>13889000000</v>
      </c>
      <c r="D8" s="18">
        <v>15466000000</v>
      </c>
      <c r="E8" s="18">
        <v>15908000000</v>
      </c>
      <c r="F8" s="8" t="s">
        <v>89</v>
      </c>
    </row>
    <row r="9" spans="1:6" x14ac:dyDescent="0.25">
      <c r="A9" t="s">
        <v>90</v>
      </c>
      <c r="B9" s="18">
        <v>-2310000000</v>
      </c>
      <c r="C9" s="18">
        <v>3097000000</v>
      </c>
      <c r="D9" s="18">
        <v>474000000</v>
      </c>
      <c r="E9" s="18">
        <v>736000000</v>
      </c>
      <c r="F9" s="8" t="s">
        <v>91</v>
      </c>
    </row>
    <row r="10" spans="1:6" x14ac:dyDescent="0.25">
      <c r="A10" t="s">
        <v>92</v>
      </c>
      <c r="B10" s="18">
        <v>83444000000</v>
      </c>
      <c r="C10" s="18">
        <v>94378000000</v>
      </c>
      <c r="D10" s="18">
        <v>106601000000</v>
      </c>
      <c r="E10" s="18">
        <v>94348000000</v>
      </c>
      <c r="F10" s="8" t="s">
        <v>93</v>
      </c>
    </row>
    <row r="11" spans="1:6" x14ac:dyDescent="0.25">
      <c r="A11" t="s">
        <v>94</v>
      </c>
      <c r="B11" s="18">
        <v>11889000000</v>
      </c>
      <c r="C11" s="18">
        <v>10931000000</v>
      </c>
      <c r="D11" s="18">
        <v>18748000000</v>
      </c>
      <c r="E11" s="18">
        <v>9180000000</v>
      </c>
      <c r="F11" s="8" t="s">
        <v>95</v>
      </c>
    </row>
    <row r="12" spans="1:6" x14ac:dyDescent="0.25">
      <c r="A12" t="s">
        <v>32</v>
      </c>
      <c r="B12" s="34">
        <v>3932090000</v>
      </c>
      <c r="C12" s="34">
        <v>3932109000</v>
      </c>
      <c r="D12" s="34">
        <v>3932109000</v>
      </c>
      <c r="E12" s="34">
        <v>4035313000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2026-09-19T00:08:09Z</dcterms:modified>
</cp:coreProperties>
</file>