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<sst xmlns="http://schemas.openxmlformats.org/spreadsheetml/2006/main" count="113" uniqueCount="101">
  <si>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Teleperformance SE (TEP.PA)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</si>
  <si>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</si>
  <si>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</si>
  <si>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</si>
  <si>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</si>
  <si>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</si>
  <si>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</si>
  <si>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</si>
  <si>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</si>
  <si>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</si>
  <si>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</si>
  <si>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</si>
  <si>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</si>
  <si>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</si>
  <si>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</si>
  <si>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</si>
  <si>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</si>
  <si>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</si>
  <si>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</si>
  <si>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</si>
  <si>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</si>
  <si>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</si>
  <si>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</si>
  <si>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</si>
  <si>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</si>
  <si>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</si>
  <si>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</si>
  <si>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</si>
  <si>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</si>
  <si>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</si>
  <si>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</si>
  <si>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</si>
  <si>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</si>
  <si>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</si>
  <si>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</si>
  <si>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</si>
  <si>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</si>
  <si>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</si>
  <si>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</si>
  <si>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</si>
  <si>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</si>
  <si>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</si>
  <si>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</si>
  <si>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</si>
  <si>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</si>
  <si>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</si>
  <si>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</si>
  <si>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</si>
  <si>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</si>
  <si>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</si>
  <si>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</si>
  <si>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</si>
  <si>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</si>
  <si>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</si>
  <si>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</si>
  <si>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</si>
  <si>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</si>
  <si>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</si>
  <si>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</si>
  <si>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</si>
  <si>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</si>
  <si>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</si>
  <si>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</si>
  <si>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</si>
  <si>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</si>
  <si>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</si>
  <si>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</si>
  <si>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</si>
  <si>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</si>
  <si>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</si>
  <si>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</si>
  <si>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</si>
  <si>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</si>
  <si>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</si>
  <si>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</si>
  <si>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</si>
  <si>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</si>
  <si>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</si>
  <si>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</si>
  <si>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</si>
  <si>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</si>
  <si>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</si>
  <si>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</si>
  <si>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</si>
  <si>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</si>
  <si>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</si>
  <si>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</si>
  <si>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</si>
  <si>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</si>
  <si>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</si>
  <si>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</si>
  <si>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</si>
  <si>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</si>
  <si>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</si>
  <si>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</si>
  <si>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</si>
  <si>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</si>
  <si>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</si>
  <si>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2.76% of revenue against depreciation of 7.55%. A business cannot depreciate more than it invests indefinitely. Capex has been set to 7.55%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</si>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</sst>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0.07781238779609256</v>
      </c>
    </row>
    <row r="7" spans="1:2" x14ac:dyDescent="0.25">
      <c r="A7" t="s">
        <v>5</v>
      </c>
      <c r="B7" s="6">
        <v>0.1173076250343417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0.07553052204532737</v>
      </c>
    </row>
    <row r="10" spans="1:2" x14ac:dyDescent="0.25">
      <c r="A10" t="s">
        <v>8</v>
      </c>
      <c r="B10" s="6">
        <v>0.07553052204532737</v>
      </c>
    </row>
    <row r="11" spans="1:2" x14ac:dyDescent="0.25">
      <c r="A11" t="s">
        <v>9</v>
      </c>
      <c r="B11" s="6">
        <v>-0.05323547653504238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4.255567196192491</v>
      </c>
    </row>
    <row r="14" spans="1:3" x14ac:dyDescent="0.25">
      <c r="A14" t="s">
        <v>12</v>
      </c>
      <c r="B14" s="6">
        <v>0.10197125188614345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0.77823</v>
      </c>
      <c r="C19" s="8" t="s">
        <v>19</v>
      </c>
    </row>
    <row r="20" spans="1:2" x14ac:dyDescent="0.25">
      <c r="A20" t="s">
        <v>20</v>
      </c>
      <c r="B20" s="10">
        <f>B17+B19*B18</f>
        <v>0.0786938</v>
      </c>
    </row>
    <row r="21" spans="1:3" x14ac:dyDescent="0.25">
      <c r="A21" t="s">
        <v>21</v>
      </c>
      <c r="B21" s="6">
        <v>0.05436221113712715</v>
      </c>
      <c r="C21" s="8" t="s">
        <v>22</v>
      </c>
    </row>
    <row r="22" spans="1:2" x14ac:dyDescent="0.25">
      <c r="A22" t="s">
        <v>23</v>
      </c>
      <c r="B22" s="11">
        <v>4163277568</v>
      </c>
    </row>
    <row r="23" spans="1:2" x14ac:dyDescent="0.25">
      <c r="A23" t="s">
        <v>24</v>
      </c>
      <c r="B23" s="11">
        <v>4916000000</v>
      </c>
    </row>
    <row r="24" spans="1:2" x14ac:dyDescent="0.25">
      <c r="A24" t="s">
        <v>25</v>
      </c>
      <c r="B24" s="10">
        <f>B22/(B22+B23)</f>
        <v>0.45854722876559156</v>
      </c>
    </row>
    <row r="25" spans="1:2" x14ac:dyDescent="0.25">
      <c r="A25" t="s">
        <v>26</v>
      </c>
      <c r="B25" s="10">
        <f>1-B24</f>
        <v>0.5414527712344084</v>
      </c>
    </row>
    <row r="26" spans="1:2" x14ac:dyDescent="0.25">
      <c r="A26" t="s">
        <v>27</v>
      </c>
      <c r="B26" s="12">
        <f>B24*B20+B25*B21*(1-B8)</f>
        <v>0.05792527475503932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10209400000</v>
      </c>
      <c r="C29" s="8" t="s">
        <v>30</v>
      </c>
    </row>
    <row r="30" spans="1:2" x14ac:dyDescent="0.25">
      <c r="A30" t="s">
        <v>31</v>
      </c>
      <c r="B30" s="11">
        <v>3884000000</v>
      </c>
    </row>
    <row r="31" spans="1:2" x14ac:dyDescent="0.25">
      <c r="A31" t="s">
        <v>32</v>
      </c>
      <c r="B31" s="13">
        <v>59145557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0.07781238779609256</v>
      </c>
      <c r="C5" s="10">
        <f>Assumptions!B6</f>
        <v>0.07781238779609256</v>
      </c>
      <c r="D5" s="10">
        <f>Assumptions!B6</f>
        <v>0.07781238779609256</v>
      </c>
      <c r="E5" s="10">
        <f>Assumptions!B6</f>
        <v>0.07781238779609256</v>
      </c>
      <c r="F5" s="10">
        <f>Assumptions!B6</f>
        <v>0.07781238779609256</v>
      </c>
    </row>
    <row r="6" spans="1:6" x14ac:dyDescent="0.25">
      <c r="A6" t="s">
        <v>43</v>
      </c>
      <c r="B6" s="18">
        <f>Assumptions!B29*(1+B5)</f>
        <v>11003817791.965427</v>
      </c>
      <c r="C6" s="18">
        <f>B6*(1+C5)</f>
        <v>11860051129.231384</v>
      </c>
      <c r="D6" s="18">
        <f>C6*(1+D5)</f>
        <v>12782910026.980621</v>
      </c>
      <c r="E6" s="18">
        <f>D6*(1+E5)</f>
        <v>13777578779.162598</v>
      </c>
      <c r="F6" s="18">
        <f>E6*(1+F5)</f>
        <v>14849645082.018013</v>
      </c>
    </row>
    <row r="7" spans="1:6" x14ac:dyDescent="0.25">
      <c r="A7" t="s">
        <v>5</v>
      </c>
      <c r="B7" s="10">
        <f>Assumptions!B7</f>
        <v>0.1173076250343417</v>
      </c>
      <c r="C7" s="10">
        <f>Assumptions!B7</f>
        <v>0.1173076250343417</v>
      </c>
      <c r="D7" s="10">
        <f>Assumptions!B7</f>
        <v>0.1173076250343417</v>
      </c>
      <c r="E7" s="10">
        <f>Assumptions!B7</f>
        <v>0.1173076250343417</v>
      </c>
      <c r="F7" s="10">
        <f>Assumptions!B7</f>
        <v>0.1173076250343417</v>
      </c>
    </row>
    <row r="8" spans="1:6" x14ac:dyDescent="0.25">
      <c r="A8" t="s">
        <v>44</v>
      </c>
      <c r="B8" s="18">
        <f>B6*B7</f>
        <v>1290831731.486098</v>
      </c>
      <c r="C8" s="18">
        <f>C6*C7</f>
        <v>1391274430.755996</v>
      </c>
      <c r="D8" s="18">
        <f>D6*D7</f>
        <v>1499532816.2927694</v>
      </c>
      <c r="E8" s="18">
        <f>E6*E7</f>
        <v>1616215045.307109</v>
      </c>
      <c r="F8" s="18">
        <f>F6*F7</f>
        <v>1741976597.1744254</v>
      </c>
    </row>
    <row r="9" spans="1:6" x14ac:dyDescent="0.25">
      <c r="A9" t="s">
        <v>45</v>
      </c>
      <c r="B9" s="18">
        <f>B8*(1-Assumptions!B8)</f>
        <v>957797144.7626847</v>
      </c>
      <c r="C9" s="18">
        <f>C8*(1-Assumptions!B8)</f>
        <v>1032325627.620949</v>
      </c>
      <c r="D9" s="18">
        <f>D8*(1-Assumptions!B8)</f>
        <v>1112653349.689235</v>
      </c>
      <c r="E9" s="18">
        <f>E8*(1-Assumptions!B8)</f>
        <v>1199231563.6178749</v>
      </c>
      <c r="F9" s="18">
        <f>F8*(1-Assumptions!B8)</f>
        <v>1292546635.1034236</v>
      </c>
    </row>
    <row r="10" spans="1:6" x14ac:dyDescent="0.25">
      <c r="A10" t="s">
        <v>46</v>
      </c>
      <c r="B10" s="18">
        <f>B6*Assumptions!B9</f>
        <v>831124102.3188102</v>
      </c>
      <c r="C10" s="18">
        <f>C6*Assumptions!B9</f>
        <v>895795853.2751209</v>
      </c>
      <c r="D10" s="18">
        <f>D6*Assumptions!B9</f>
        <v>965499867.5962961</v>
      </c>
      <c r="E10" s="18">
        <f>E6*Assumptions!B9</f>
        <v>1040627717.7107751</v>
      </c>
      <c r="F10" s="18">
        <f>F6*Assumptions!B9</f>
        <v>1121601445.2326486</v>
      </c>
    </row>
    <row r="11" spans="1:6" x14ac:dyDescent="0.25">
      <c r="A11" t="s">
        <v>47</v>
      </c>
      <c r="B11" s="18">
        <f>-B6*Assumptions!B10</f>
        <v>-831124102.3188102</v>
      </c>
      <c r="C11" s="18">
        <f>-C6*Assumptions!B10</f>
        <v>-895795853.2751209</v>
      </c>
      <c r="D11" s="18">
        <f>-D6*Assumptions!B10</f>
        <v>-965499867.5962961</v>
      </c>
      <c r="E11" s="18">
        <f>-E6*Assumptions!B10</f>
        <v>-1040627717.7107751</v>
      </c>
      <c r="F11" s="18">
        <f>-F6*Assumptions!B10</f>
        <v>-1121601445.2326486</v>
      </c>
    </row>
    <row r="12" spans="1:6" x14ac:dyDescent="0.25">
      <c r="A12" t="s">
        <v>48</v>
      </c>
      <c r="B12" s="18">
        <f>-(B6-Assumptions!B29)*Assumptions!B11</f>
        <v>42291209.723195694</v>
      </c>
      <c r="C12" s="18">
        <f>-(C6-B6)*Assumptions!B11</f>
        <v>45581989.73454288</v>
      </c>
      <c r="D12" s="18">
        <f>-(D6-C6)*Assumptions!B11</f>
        <v>49128833.196284585</v>
      </c>
      <c r="E12" s="18">
        <f>-(E6-D6)*Assumptions!B11</f>
        <v>52951665.01692349</v>
      </c>
      <c r="F12" s="18">
        <f>-(F6-E6)*Assumptions!B11</f>
        <v>57071960.5096691</v>
      </c>
    </row>
    <row r="13" spans="1:6" x14ac:dyDescent="0.25">
      <c r="A13" s="19" t="s">
        <v>49</v>
      </c>
      <c r="B13" s="20">
        <f>B9+B10+B11+B12</f>
        <v>1000088354.4858803</v>
      </c>
      <c r="C13" s="20">
        <f>C9+C10+C11+C12</f>
        <v>1077907617.355492</v>
      </c>
      <c r="D13" s="20">
        <f>D9+D10+D11+D12</f>
        <v>1161782182.8855195</v>
      </c>
      <c r="E13" s="20">
        <f>E9+E10+E11+E12</f>
        <v>1252183228.6347983</v>
      </c>
      <c r="F13" s="20">
        <f>F9+F10+F11+F12</f>
        <v>1349618595.6130924</v>
      </c>
    </row>
    <row r="14" spans="1:6" x14ac:dyDescent="0.25">
      <c r="A14" t="s">
        <v>50</v>
      </c>
      <c r="B14" s="21">
        <f>1/(1+Assumptions!$B$26)^(1-0.5*Assumptions!$B$32)</f>
        <v>0.9722378030674167</v>
      </c>
      <c r="C14" s="21">
        <f>1/(1+Assumptions!$B$26)^(2-0.5*Assumptions!$B$32)</f>
        <v>0.9190042305138579</v>
      </c>
      <c r="D14" s="21">
        <f>1/(1+Assumptions!$B$26)^(3-0.5*Assumptions!$B$32)</f>
        <v>0.8686853905883395</v>
      </c>
      <c r="E14" s="21">
        <f>1/(1+Assumptions!$B$26)^(4-0.5*Assumptions!$B$32)</f>
        <v>0.8211216910282082</v>
      </c>
      <c r="F14" s="21">
        <f>1/(1+Assumptions!$B$26)^(5-0.5*Assumptions!$B$32)</f>
        <v>0.7761622778303857</v>
      </c>
    </row>
    <row r="15" spans="1:6" x14ac:dyDescent="0.25">
      <c r="A15" s="19" t="s">
        <v>51</v>
      </c>
      <c r="B15" s="20">
        <f>B13*B14</f>
        <v>972323704.6386601</v>
      </c>
      <c r="C15" s="20">
        <f>C13*C14</f>
        <v>990601660.45281</v>
      </c>
      <c r="D15" s="20">
        <f>D13*D14</f>
        <v>1009223209.3184812</v>
      </c>
      <c r="E15" s="20">
        <f>E13*E14</f>
        <v>1028194810.173767</v>
      </c>
      <c r="F15" s="20">
        <f>F13*F14</f>
        <v>1047523043.373304</v>
      </c>
    </row>
    <row r="17" spans="1:2" x14ac:dyDescent="0.25">
      <c r="A17" s="22" t="s">
        <v>52</v>
      </c>
      <c r="B17" s="23">
        <f>SUM(B15:F15)</f>
        <v>5047866427.957023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1349618595.6130924</v>
      </c>
    </row>
    <row r="5" spans="1:2" x14ac:dyDescent="0.25">
      <c r="A5" t="s">
        <v>56</v>
      </c>
      <c r="B5" s="18">
        <f>IF(Assumptions!$B$33=0,B4,B4-Forecast!F11-Forecast!F10-Forecast!F12)</f>
        <v>1292546635.1034236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0.24516713816472396</v>
      </c>
    </row>
    <row r="7" spans="1:2" x14ac:dyDescent="0.25">
      <c r="A7" t="s">
        <v>58</v>
      </c>
      <c r="B7" s="18">
        <f>-MAX(Forecast!F9,0)*B6</f>
        <v>-316889959.4727501</v>
      </c>
    </row>
    <row r="8" spans="1:2" x14ac:dyDescent="0.25">
      <c r="A8" t="s">
        <v>59</v>
      </c>
      <c r="B8" s="18">
        <f>IF(OR(Assumptions!$B$33=0,Assumptions!B12&lt;=0),B5,MAX(B5+B7,0))</f>
        <v>975656675.6306734</v>
      </c>
    </row>
    <row r="9" spans="1:2" x14ac:dyDescent="0.25">
      <c r="A9" t="s">
        <v>60</v>
      </c>
      <c r="B9" s="18">
        <f>B8*(1+Assumptions!B12)/(Assumptions!B26-Assumptions!B12)</f>
        <v>30373264914.619415</v>
      </c>
    </row>
    <row r="10" spans="1:2" x14ac:dyDescent="0.25">
      <c r="A10" t="s">
        <v>61</v>
      </c>
      <c r="B10" s="18">
        <f>B9/(1+Assumptions!B26)^(5-0.5*Assumptions!B32)</f>
        <v>23574582481.27674</v>
      </c>
    </row>
    <row r="11" spans="1:2" x14ac:dyDescent="0.25">
      <c r="A11" t="s">
        <v>62</v>
      </c>
      <c r="B11" s="18">
        <f>Forecast!B17+B10</f>
        <v>28622448909.233765</v>
      </c>
    </row>
    <row r="12" spans="1:2" x14ac:dyDescent="0.25">
      <c r="A12" t="s">
        <v>63</v>
      </c>
      <c r="B12" s="18">
        <f>-Assumptions!B30</f>
        <v>-3884000000</v>
      </c>
    </row>
    <row r="13" spans="1:2" x14ac:dyDescent="0.25">
      <c r="A13" t="s">
        <v>64</v>
      </c>
      <c r="B13" s="18">
        <f>B11+B12</f>
        <v>24738448909.233765</v>
      </c>
    </row>
    <row r="14" spans="1:2" x14ac:dyDescent="0.25">
      <c r="A14" s="19" t="s">
        <v>65</v>
      </c>
      <c r="B14" s="24">
        <f>B13/Assumptions!B31</f>
        <v>418.26385892745526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2863578042.407074</v>
      </c>
    </row>
    <row r="18" spans="1:2" x14ac:dyDescent="0.25">
      <c r="A18" t="s">
        <v>60</v>
      </c>
      <c r="B18" s="18">
        <f>B17*Assumptions!B13</f>
        <v>12186148781.004654</v>
      </c>
    </row>
    <row r="19" spans="1:2" x14ac:dyDescent="0.25">
      <c r="A19" t="s">
        <v>61</v>
      </c>
      <c r="B19" s="18">
        <f>B18/(1+Assumptions!B26)^(5-0.5*Assumptions!B32)</f>
        <v>9458428995.844551</v>
      </c>
    </row>
    <row r="20" spans="1:2" x14ac:dyDescent="0.25">
      <c r="A20" t="s">
        <v>62</v>
      </c>
      <c r="B20" s="18">
        <f>Forecast!B17+B19</f>
        <v>14506295423.801575</v>
      </c>
    </row>
    <row r="21" spans="1:2" x14ac:dyDescent="0.25">
      <c r="A21" t="s">
        <v>63</v>
      </c>
      <c r="B21" s="18">
        <f>-Assumptions!B30</f>
        <v>-3884000000</v>
      </c>
    </row>
    <row r="22" spans="1:2" x14ac:dyDescent="0.25">
      <c r="A22" t="s">
        <v>64</v>
      </c>
      <c r="B22" s="18">
        <f>B20+B21</f>
        <v>10622295423.801575</v>
      </c>
    </row>
    <row r="23" spans="1:2" x14ac:dyDescent="0.25">
      <c r="A23" s="19" t="s">
        <v>65</v>
      </c>
      <c r="B23" s="25">
        <f>B22/Assumptions!B31</f>
        <v>179.5958303985805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418.26385892745526</v>
      </c>
    </row>
    <row r="29" spans="1:2" x14ac:dyDescent="0.25">
      <c r="A29" s="19" t="s">
        <v>73</v>
      </c>
      <c r="B29" s="12">
        <f>B28/B26-1</f>
        <v>4.999194763732864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0.037925</v>
      </c>
      <c r="B5" s="31">
        <v>721.907505936604</v>
      </c>
      <c r="C5" s="31">
        <v>869.4228084294939</v>
      </c>
      <c r="D5" s="31">
        <v>1130.3686778300018</v>
      </c>
      <c r="E5" s="31">
        <v>1719.4401934585403</v>
      </c>
      <c r="F5" s="31">
        <v>4319.3329769973225</v>
      </c>
    </row>
    <row r="6" spans="1:6" x14ac:dyDescent="0.25">
      <c r="A6" s="30">
        <v>0.047925</v>
      </c>
      <c r="B6" s="31">
        <v>487.2211654580729</v>
      </c>
      <c r="C6" s="31">
        <v>541.5588268087059</v>
      </c>
      <c r="D6" s="31">
        <v>619.2202133195933</v>
      </c>
      <c r="E6" s="31">
        <v>739.7230866311165</v>
      </c>
      <c r="F6" s="31">
        <v>952.7867737846311</v>
      </c>
    </row>
    <row r="7" spans="1:6" x14ac:dyDescent="0.25">
      <c r="A7" s="30">
        <v>0.057925</v>
      </c>
      <c r="B7" s="31">
        <v>361.76054789067933</v>
      </c>
      <c r="C7" s="31">
        <v>386.3988507250377</v>
      </c>
      <c r="D7" s="32">
        <v>418.2677071477485</v>
      </c>
      <c r="E7" s="31">
        <v>461.2510313513023</v>
      </c>
      <c r="F7" s="31">
        <v>522.6211032359232</v>
      </c>
    </row>
    <row r="8" spans="1:6" x14ac:dyDescent="0.25">
      <c r="A8" s="30">
        <v>0.067925</v>
      </c>
      <c r="B8" s="31">
        <v>283.61852385313614</v>
      </c>
      <c r="C8" s="31">
        <v>295.8437473391435</v>
      </c>
      <c r="D8" s="31">
        <v>310.7312875927003</v>
      </c>
      <c r="E8" s="31">
        <v>329.3341374025544</v>
      </c>
      <c r="F8" s="31">
        <v>353.34492071234894</v>
      </c>
    </row>
    <row r="9" spans="1:6" x14ac:dyDescent="0.25">
      <c r="A9" s="30">
        <v>0.077925</v>
      </c>
      <c r="B9" s="31">
        <v>230.24053620255208</v>
      </c>
      <c r="C9" s="31">
        <v>236.44145892928256</v>
      </c>
      <c r="D9" s="31">
        <v>243.6695785593087</v>
      </c>
      <c r="E9" s="31">
        <v>252.24639647081386</v>
      </c>
      <c r="F9" s="31">
        <v>262.6432108402029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10209400000</v>
      </c>
      <c r="C5" s="18">
        <v>10279800000</v>
      </c>
      <c r="D5" s="18">
        <v>8345000000</v>
      </c>
      <c r="E5" s="18">
        <v>8154000000</v>
      </c>
      <c r="F5" s="8" t="s">
        <v>84</v>
      </c>
    </row>
    <row r="6" spans="1:6" x14ac:dyDescent="0.25">
      <c r="A6" t="s">
        <v>44</v>
      </c>
      <c r="B6" s="18">
        <v>1152000000</v>
      </c>
      <c r="C6" s="18">
        <v>1169000000</v>
      </c>
      <c r="D6" s="18">
        <v>1001700000</v>
      </c>
      <c r="E6" s="18">
        <v>1000000000</v>
      </c>
      <c r="F6" s="8" t="s">
        <v>85</v>
      </c>
    </row>
    <row r="7" spans="1:6" x14ac:dyDescent="0.25">
      <c r="A7" t="s">
        <v>86</v>
      </c>
      <c r="B7" s="18">
        <v>739000000</v>
      </c>
      <c r="C7" s="18">
        <v>779000000</v>
      </c>
      <c r="D7" s="18">
        <v>639000000</v>
      </c>
      <c r="E7" s="18">
        <v>631000000</v>
      </c>
      <c r="F7" s="8" t="s">
        <v>87</v>
      </c>
    </row>
    <row r="8" spans="1:6" x14ac:dyDescent="0.25">
      <c r="A8" t="s">
        <v>88</v>
      </c>
      <c r="B8" s="18">
        <v>253000000</v>
      </c>
      <c r="C8" s="18">
        <v>219000000</v>
      </c>
      <c r="D8" s="18">
        <v>233000000</v>
      </c>
      <c r="E8" s="18">
        <v>298000000</v>
      </c>
      <c r="F8" s="8" t="s">
        <v>89</v>
      </c>
    </row>
    <row r="9" spans="1:6" x14ac:dyDescent="0.25">
      <c r="A9" t="s">
        <v>90</v>
      </c>
      <c r="B9" s="18">
        <v>-52000000</v>
      </c>
      <c r="C9" s="18">
        <v>-103000000</v>
      </c>
      <c r="D9" s="18">
        <v>-24000000</v>
      </c>
      <c r="E9" s="18">
        <v>172000000</v>
      </c>
      <c r="F9" s="8" t="s">
        <v>91</v>
      </c>
    </row>
    <row r="10" spans="1:6" x14ac:dyDescent="0.25">
      <c r="A10" t="s">
        <v>92</v>
      </c>
      <c r="B10" s="18">
        <v>4916000000</v>
      </c>
      <c r="C10" s="18">
        <v>4907000000</v>
      </c>
      <c r="D10" s="18">
        <v>5378000000</v>
      </c>
      <c r="E10" s="18">
        <v>3400000000</v>
      </c>
      <c r="F10" s="8" t="s">
        <v>93</v>
      </c>
    </row>
    <row r="11" spans="1:6" x14ac:dyDescent="0.25">
      <c r="A11" t="s">
        <v>94</v>
      </c>
      <c r="B11" s="18">
        <v>1032000000</v>
      </c>
      <c r="C11" s="18">
        <v>1137000000</v>
      </c>
      <c r="D11" s="18">
        <v>993000000</v>
      </c>
      <c r="E11" s="18">
        <v>883000000</v>
      </c>
      <c r="F11" s="8" t="s">
        <v>95</v>
      </c>
    </row>
    <row r="12" spans="1:6" x14ac:dyDescent="0.25">
      <c r="A12" t="s">
        <v>32</v>
      </c>
      <c r="B12" s="34">
        <v>59145557</v>
      </c>
      <c r="C12" s="34">
        <v>60035782</v>
      </c>
      <c r="D12" s="34">
        <v>59096870</v>
      </c>
      <c r="E12" s="34">
        <v>59707849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