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<sst xmlns="http://schemas.openxmlformats.org/spreadsheetml/2006/main" count="114" uniqueCount="102">
  <si>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Teradyne, Inc. (TER)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</si>
  <si>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</si>
  <si>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</si>
  <si>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</si>
  <si>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</si>
  <si>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</si>
  <si>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</si>
  <si>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</si>
  <si>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</si>
  <si>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</si>
  <si>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</si>
  <si>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</si>
  <si>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</si>
  <si>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</si>
  <si>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</si>
  <si>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</si>
  <si>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</si>
  <si>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</si>
  <si>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</si>
  <si>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</si>
  <si>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</si>
  <si>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</si>
  <si>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</si>
  <si>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</si>
  <si>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</si>
  <si>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</si>
  <si>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</si>
  <si>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</si>
  <si>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</si>
  <si>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</si>
  <si>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</si>
  <si>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</si>
  <si>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</si>
  <si>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</si>
  <si>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</si>
  <si>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</si>
  <si>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</si>
  <si>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</si>
  <si>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</si>
  <si>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</si>
  <si>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</si>
  <si>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</si>
  <si>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</si>
  <si>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</si>
  <si>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</si>
  <si>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</si>
  <si>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</si>
  <si>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</si>
  <si>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</si>
  <si>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</si>
  <si>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</si>
  <si>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</si>
  <si>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</si>
  <si>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</si>
  <si>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</si>
  <si>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</si>
  <si>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</si>
  <si>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</si>
  <si>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</si>
  <si>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</si>
  <si>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</si>
  <si>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</si>
  <si>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</si>
  <si>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</si>
  <si>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</si>
  <si>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</si>
  <si>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</si>
  <si>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</si>
  <si>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</si>
  <si>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</si>
  <si>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</si>
  <si>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</si>
  <si>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</si>
  <si>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</si>
  <si>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</si>
  <si>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</si>
  <si>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</si>
  <si>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</si>
  <si>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</si>
  <si>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</si>
  <si>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</si>
  <si>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</si>
  <si>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</si>
  <si>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</si>
  <si>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</si>
  <si>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</si>
  <si>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</si>
  <si>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</si>
  <si>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</si>
  <si>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</si>
  <si>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</si>
  <si>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</si>
  <si>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</si>
  <si>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</si>
  <si>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</si>
  <si>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</si>
  <si>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</si>
  <si>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</si>
  <si>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model values the shares at 8.4% of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</si>
  <si>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Capital expenditure runs at 6.3% of revenue against depreciation of 4.0%. A perpetuity has to be a steady state, so the terminal year uses maintenance capex at depreciation and then charges the reinvestment terminal growth requires (g/ROIC of NOPAT). The bridge is shown under Terminal Value.</t>
  </si>
  <si>
    <t>Current EV/EBITDA of 71.1x sits outside a defensible 3-20x band, so the exit multiple is capped at 20.0x. A multiple that far out usually means EBITDA is the wrong denominator for this business.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</si>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</sst>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0.003681989032964239</v>
      </c>
    </row>
    <row r="7" spans="1:2" x14ac:dyDescent="0.25">
      <c r="A7" t="s">
        <v>5</v>
      </c>
      <c r="B7" s="6">
        <v>0.21900168068830111</v>
      </c>
    </row>
    <row r="8" spans="1:2" x14ac:dyDescent="0.25">
      <c r="A8" t="s">
        <v>6</v>
      </c>
      <c r="B8" s="6">
        <v>0.13377710276620686</v>
      </c>
    </row>
    <row r="9" spans="1:2" x14ac:dyDescent="0.25">
      <c r="A9" t="s">
        <v>7</v>
      </c>
      <c r="B9" s="6">
        <v>0.03977340827962153</v>
      </c>
    </row>
    <row r="10" spans="1:2" x14ac:dyDescent="0.25">
      <c r="A10" t="s">
        <v>8</v>
      </c>
      <c r="B10" s="6">
        <v>0.06296592241930356</v>
      </c>
    </row>
    <row r="11" spans="1:2" x14ac:dyDescent="0.25">
      <c r="A11" t="s">
        <v>9</v>
      </c>
      <c r="B11" s="6">
        <v>-0.008660106486306964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0.18912085375537332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1.5212599999999998</v>
      </c>
      <c r="C19" s="8" t="s">
        <v>19</v>
      </c>
    </row>
    <row r="20" spans="1:2" x14ac:dyDescent="0.25">
      <c r="A20" t="s">
        <v>20</v>
      </c>
      <c r="B20" s="10">
        <f>B17+B19*B18</f>
        <v>0.1336493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58075897856</v>
      </c>
    </row>
    <row r="23" spans="1:2" x14ac:dyDescent="0.25">
      <c r="A23" t="s">
        <v>24</v>
      </c>
      <c r="B23" s="11">
        <v>283239000</v>
      </c>
    </row>
    <row r="24" spans="1:2" x14ac:dyDescent="0.25">
      <c r="A24" t="s">
        <v>25</v>
      </c>
      <c r="B24" s="10">
        <f>B22/(B22+B23)</f>
        <v>0.9951466211589303</v>
      </c>
    </row>
    <row r="25" spans="1:2" x14ac:dyDescent="0.25">
      <c r="A25" t="s">
        <v>26</v>
      </c>
      <c r="B25" s="10">
        <f>1-B24</f>
        <v>0.004853378841069733</v>
      </c>
    </row>
    <row r="26" spans="1:2" x14ac:dyDescent="0.25">
      <c r="A26" t="s">
        <v>27</v>
      </c>
      <c r="B26" s="12">
        <f>B24*B20+B25*B21*(1-B8)</f>
        <v>0.1332107706271528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3190024000</v>
      </c>
      <c r="C29" s="8" t="s">
        <v>30</v>
      </c>
    </row>
    <row r="30" spans="1:2" x14ac:dyDescent="0.25">
      <c r="A30" t="s">
        <v>31</v>
      </c>
      <c r="B30" s="11">
        <v>-38759000</v>
      </c>
    </row>
    <row r="31" spans="1:2" x14ac:dyDescent="0.25">
      <c r="A31" t="s">
        <v>32</v>
      </c>
      <c r="B31" s="13">
        <v>159719000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0.003681989032964239</v>
      </c>
      <c r="C5" s="10">
        <f>Assumptions!B6</f>
        <v>0.003681989032964239</v>
      </c>
      <c r="D5" s="10">
        <f>Assumptions!B6</f>
        <v>0.003681989032964239</v>
      </c>
      <c r="E5" s="10">
        <f>Assumptions!B6</f>
        <v>0.003681989032964239</v>
      </c>
      <c r="F5" s="10">
        <f>Assumptions!B6</f>
        <v>0.003681989032964239</v>
      </c>
    </row>
    <row r="6" spans="1:6" x14ac:dyDescent="0.25">
      <c r="A6" t="s">
        <v>43</v>
      </c>
      <c r="B6" s="18">
        <f>Assumptions!B29*(1+B5)</f>
        <v>3201769633.3828926</v>
      </c>
      <c r="C6" s="18">
        <f>B6*(1+C5)</f>
        <v>3213558514.0590863</v>
      </c>
      <c r="D6" s="18">
        <f>C6*(1+D5)</f>
        <v>3225390801.264641</v>
      </c>
      <c r="E6" s="18">
        <f>D6*(1+E5)</f>
        <v>3237266654.821921</v>
      </c>
      <c r="F6" s="18">
        <f>E6*(1+F5)</f>
        <v>3249186235.141756</v>
      </c>
    </row>
    <row r="7" spans="1:6" x14ac:dyDescent="0.25">
      <c r="A7" t="s">
        <v>5</v>
      </c>
      <c r="B7" s="10">
        <f>Assumptions!B7</f>
        <v>0.21900168068830111</v>
      </c>
      <c r="C7" s="10">
        <f>Assumptions!B7</f>
        <v>0.21900168068830111</v>
      </c>
      <c r="D7" s="10">
        <f>Assumptions!B7</f>
        <v>0.21900168068830111</v>
      </c>
      <c r="E7" s="10">
        <f>Assumptions!B7</f>
        <v>0.21900168068830111</v>
      </c>
      <c r="F7" s="10">
        <f>Assumptions!B7</f>
        <v>0.21900168068830111</v>
      </c>
    </row>
    <row r="8" spans="1:6" x14ac:dyDescent="0.25">
      <c r="A8" t="s">
        <v>44</v>
      </c>
      <c r="B8" s="18">
        <f>B6*B7</f>
        <v>701192930.8876191</v>
      </c>
      <c r="C8" s="18">
        <f>C6*C7</f>
        <v>703774715.5691395</v>
      </c>
      <c r="D8" s="18">
        <f>D6*D7</f>
        <v>706366006.3535426</v>
      </c>
      <c r="E8" s="18">
        <f>E6*E7</f>
        <v>708966838.242195</v>
      </c>
      <c r="F8" s="18">
        <f>F6*F7</f>
        <v>711577246.3653381</v>
      </c>
    </row>
    <row r="9" spans="1:6" x14ac:dyDescent="0.25">
      <c r="A9" t="s">
        <v>45</v>
      </c>
      <c r="B9" s="18">
        <f>B8*(1-Assumptions!B8)</f>
        <v>607389372.1133283</v>
      </c>
      <c r="C9" s="18">
        <f>C8*(1-Assumptions!B8)</f>
        <v>609625773.1201887</v>
      </c>
      <c r="D9" s="18">
        <f>D8*(1-Assumptions!B8)</f>
        <v>611870408.5310296</v>
      </c>
      <c r="E9" s="18">
        <f>E8*(1-Assumptions!B8)</f>
        <v>614123308.664836</v>
      </c>
      <c r="F9" s="18">
        <f>F8*(1-Assumptions!B8)</f>
        <v>616384503.9522277</v>
      </c>
    </row>
    <row r="10" spans="1:6" x14ac:dyDescent="0.25">
      <c r="A10" t="s">
        <v>46</v>
      </c>
      <c r="B10" s="18">
        <f>B6*Assumptions!B9</f>
        <v>127345290.84583193</v>
      </c>
      <c r="C10" s="18">
        <f>C6*Assumptions!B9</f>
        <v>127814174.81012593</v>
      </c>
      <c r="D10" s="18">
        <f>D6*Assumptions!B9</f>
        <v>128284785.20003419</v>
      </c>
      <c r="E10" s="18">
        <f>E6*Assumptions!B9</f>
        <v>128757128.37223688</v>
      </c>
      <c r="F10" s="18">
        <f>F6*Assumptions!B9</f>
        <v>129231210.70681943</v>
      </c>
    </row>
    <row r="11" spans="1:6" x14ac:dyDescent="0.25">
      <c r="A11" t="s">
        <v>47</v>
      </c>
      <c r="B11" s="18">
        <f>-B6*Assumptions!B10</f>
        <v>-201602378.3400692</v>
      </c>
      <c r="C11" s="18">
        <f>-C6*Assumptions!B10</f>
        <v>-202344676.08613685</v>
      </c>
      <c r="D11" s="18">
        <f>-D6*Assumptions!B10</f>
        <v>-203089706.9643647</v>
      </c>
      <c r="E11" s="18">
        <f>-E6*Assumptions!B10</f>
        <v>-203837481.0381154</v>
      </c>
      <c r="F11" s="18">
        <f>-F6*Assumptions!B10</f>
        <v>-204588008.40780482</v>
      </c>
    </row>
    <row r="12" spans="1:6" x14ac:dyDescent="0.25">
      <c r="A12" t="s">
        <v>48</v>
      </c>
      <c r="B12" s="18">
        <f>-(B6-Assumptions!B29)*Assumptions!B11</f>
        <v>101718.43584497189</v>
      </c>
      <c r="C12" s="18">
        <f>-(C6-B6)*Assumptions!B11</f>
        <v>102092.96201020402</v>
      </c>
      <c r="D12" s="18">
        <f>-(D6-C6)*Assumptions!B11</f>
        <v>102468.8671766693</v>
      </c>
      <c r="E12" s="18">
        <f>-(E6-D6)*Assumptions!B11</f>
        <v>102846.15642183271</v>
      </c>
      <c r="F12" s="18">
        <f>-(F6-E6)*Assumptions!B11</f>
        <v>103224.83484186154</v>
      </c>
    </row>
    <row r="13" spans="1:6" x14ac:dyDescent="0.25">
      <c r="A13" s="19" t="s">
        <v>49</v>
      </c>
      <c r="B13" s="20">
        <f>B9+B10+B11+B12</f>
        <v>533234003.0549361</v>
      </c>
      <c r="C13" s="20">
        <f>C9+C10+C11+C12</f>
        <v>535197364.80618805</v>
      </c>
      <c r="D13" s="20">
        <f>D9+D10+D11+D12</f>
        <v>537167955.6338757</v>
      </c>
      <c r="E13" s="20">
        <f>E9+E10+E11+E12</f>
        <v>539145802.1553793</v>
      </c>
      <c r="F13" s="20">
        <f>F9+F10+F11+F12</f>
        <v>541130931.0860841</v>
      </c>
    </row>
    <row r="14" spans="1:6" x14ac:dyDescent="0.25">
      <c r="A14" t="s">
        <v>50</v>
      </c>
      <c r="B14" s="21">
        <f>1/(1+Assumptions!$B$26)^(1-0.5*Assumptions!$B$32)</f>
        <v>0.9393872323428396</v>
      </c>
      <c r="C14" s="21">
        <f>1/(1+Assumptions!$B$26)^(2-0.5*Assumptions!$B$32)</f>
        <v>0.8289607341297636</v>
      </c>
      <c r="D14" s="21">
        <f>1/(1+Assumptions!$B$26)^(3-0.5*Assumptions!$B$32)</f>
        <v>0.731515050524089</v>
      </c>
      <c r="E14" s="21">
        <f>1/(1+Assumptions!$B$26)^(4-0.5*Assumptions!$B$32)</f>
        <v>0.645524265639698</v>
      </c>
      <c r="F14" s="21">
        <f>1/(1+Assumptions!$B$26)^(5-0.5*Assumptions!$B$32)</f>
        <v>0.5696418374866359</v>
      </c>
    </row>
    <row r="15" spans="1:6" x14ac:dyDescent="0.25">
      <c r="A15" s="19" t="s">
        <v>51</v>
      </c>
      <c r="B15" s="20">
        <f>B13*B14</f>
        <v>500913214.3208697</v>
      </c>
      <c r="C15" s="20">
        <f>C13*C14</f>
        <v>443657600.4340525</v>
      </c>
      <c r="D15" s="20">
        <f>D13*D14</f>
        <v>392946444.2054362</v>
      </c>
      <c r="E15" s="20">
        <f>E13*E14</f>
        <v>348031698.00907713</v>
      </c>
      <c r="F15" s="20">
        <f>F13*F14</f>
        <v>308250817.9047311</v>
      </c>
    </row>
    <row r="17" spans="1:2" x14ac:dyDescent="0.25">
      <c r="A17" s="22" t="s">
        <v>52</v>
      </c>
      <c r="B17" s="23">
        <f>SUM(B15:F15)</f>
        <v>1993799774.8741665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541130931.0860841</v>
      </c>
    </row>
    <row r="5" spans="1:2" x14ac:dyDescent="0.25">
      <c r="A5" t="s">
        <v>56</v>
      </c>
      <c r="B5" s="18">
        <f>IF(Assumptions!$B$33=0,B4,B4-Forecast!F11-Forecast!F10-Forecast!F12)</f>
        <v>634089012.2981933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0.13219060459793264</v>
      </c>
    </row>
    <row r="7" spans="1:2" x14ac:dyDescent="0.25">
      <c r="A7" t="s">
        <v>58</v>
      </c>
      <c r="B7" s="18">
        <f>-MAX(Forecast!F9,0)*B6</f>
        <v>-83820609.90460412</v>
      </c>
    </row>
    <row r="8" spans="1:2" x14ac:dyDescent="0.25">
      <c r="A8" t="s">
        <v>59</v>
      </c>
      <c r="B8" s="18">
        <f>IF(OR(Assumptions!$B$33=0,Assumptions!B12&lt;=0),B5,MAX(B5+B7,0))</f>
        <v>550268402.3935893</v>
      </c>
    </row>
    <row r="9" spans="1:2" x14ac:dyDescent="0.25">
      <c r="A9" t="s">
        <v>60</v>
      </c>
      <c r="B9" s="18">
        <f>B8*(1+Assumptions!B12)/(Assumptions!B26-Assumptions!B12)</f>
        <v>5212282559.162376</v>
      </c>
    </row>
    <row r="10" spans="1:2" x14ac:dyDescent="0.25">
      <c r="A10" t="s">
        <v>61</v>
      </c>
      <c r="B10" s="18">
        <f>B9/(1+Assumptions!B26)^(5-0.5*Assumptions!B32)</f>
        <v>2969134214.500801</v>
      </c>
    </row>
    <row r="11" spans="1:2" x14ac:dyDescent="0.25">
      <c r="A11" t="s">
        <v>62</v>
      </c>
      <c r="B11" s="18">
        <f>Forecast!B17+B10</f>
        <v>4962933989.374968</v>
      </c>
    </row>
    <row r="12" spans="1:2" x14ac:dyDescent="0.25">
      <c r="A12" t="s">
        <v>63</v>
      </c>
      <c r="B12" s="18">
        <f>-Assumptions!B30</f>
        <v>38759000</v>
      </c>
    </row>
    <row r="13" spans="1:2" x14ac:dyDescent="0.25">
      <c r="A13" t="s">
        <v>64</v>
      </c>
      <c r="B13" s="18">
        <f>B11+B12</f>
        <v>5001692989.374968</v>
      </c>
    </row>
    <row r="14" spans="1:2" x14ac:dyDescent="0.25">
      <c r="A14" s="19" t="s">
        <v>65</v>
      </c>
      <c r="B14" s="24">
        <f>B13/Assumptions!B31</f>
        <v>31.31557916951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840808457.0721575</v>
      </c>
    </row>
    <row r="18" spans="1:2" x14ac:dyDescent="0.25">
      <c r="A18" t="s">
        <v>60</v>
      </c>
      <c r="B18" s="18">
        <f>B17*Assumptions!B13</f>
        <v>16816169141.44315</v>
      </c>
    </row>
    <row r="19" spans="1:2" x14ac:dyDescent="0.25">
      <c r="A19" t="s">
        <v>61</v>
      </c>
      <c r="B19" s="18">
        <f>B18/(1+Assumptions!B26)^(5-0.5*Assumptions!B32)</f>
        <v>9579193489.21774</v>
      </c>
    </row>
    <row r="20" spans="1:2" x14ac:dyDescent="0.25">
      <c r="A20" t="s">
        <v>62</v>
      </c>
      <c r="B20" s="18">
        <f>Forecast!B17+B19</f>
        <v>11572993264.091906</v>
      </c>
    </row>
    <row r="21" spans="1:2" x14ac:dyDescent="0.25">
      <c r="A21" t="s">
        <v>63</v>
      </c>
      <c r="B21" s="18">
        <f>-Assumptions!B30</f>
        <v>38759000</v>
      </c>
    </row>
    <row r="22" spans="1:2" x14ac:dyDescent="0.25">
      <c r="A22" t="s">
        <v>64</v>
      </c>
      <c r="B22" s="18">
        <f>B20+B21</f>
        <v>11611752264.091906</v>
      </c>
    </row>
    <row r="23" spans="1:2" x14ac:dyDescent="0.25">
      <c r="A23" s="19" t="s">
        <v>65</v>
      </c>
      <c r="B23" s="25">
        <f>B22/Assumptions!B31</f>
        <v>72.70113301543276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371.47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31.31557916951</v>
      </c>
    </row>
    <row r="29" spans="1:2" x14ac:dyDescent="0.25">
      <c r="A29" s="19" t="s">
        <v>73</v>
      </c>
      <c r="B29" s="12">
        <f>B28/B26-1</f>
        <v>-0.9156982282027889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0.113211</v>
      </c>
      <c r="B5" s="31">
        <v>36.555961640089585</v>
      </c>
      <c r="C5" s="31">
        <v>37.21870173539361</v>
      </c>
      <c r="D5" s="31">
        <v>37.94922956630319</v>
      </c>
      <c r="E5" s="31">
        <v>38.75976486379241</v>
      </c>
      <c r="F5" s="31">
        <v>39.665652170172365</v>
      </c>
    </row>
    <row r="6" spans="1:6" x14ac:dyDescent="0.25">
      <c r="A6" s="30">
        <v>0.123211</v>
      </c>
      <c r="B6" s="31">
        <v>33.30393670301489</v>
      </c>
      <c r="C6" s="31">
        <v>33.77860090482307</v>
      </c>
      <c r="D6" s="31">
        <v>34.29526056543468</v>
      </c>
      <c r="E6" s="31">
        <v>34.860673812989646</v>
      </c>
      <c r="F6" s="31">
        <v>35.483131039889706</v>
      </c>
    </row>
    <row r="7" spans="1:6" x14ac:dyDescent="0.25">
      <c r="A7" s="30">
        <v>0.133211</v>
      </c>
      <c r="B7" s="31">
        <v>30.60365998479873</v>
      </c>
      <c r="C7" s="31">
        <v>30.946509483317293</v>
      </c>
      <c r="D7" s="32">
        <v>31.315517125608174</v>
      </c>
      <c r="E7" s="31">
        <v>31.71448456223754</v>
      </c>
      <c r="F7" s="31">
        <v>32.147987623968504</v>
      </c>
    </row>
    <row r="8" spans="1:6" x14ac:dyDescent="0.25">
      <c r="A8" s="30">
        <v>0.143211</v>
      </c>
      <c r="B8" s="31">
        <v>28.32591821880972</v>
      </c>
      <c r="C8" s="31">
        <v>28.574337170824254</v>
      </c>
      <c r="D8" s="31">
        <v>28.838909193649375</v>
      </c>
      <c r="E8" s="31">
        <v>29.121774503890883</v>
      </c>
      <c r="F8" s="31">
        <v>29.42546888174899</v>
      </c>
    </row>
    <row r="9" spans="1:6" x14ac:dyDescent="0.25">
      <c r="A9" s="30">
        <v>0.153211</v>
      </c>
      <c r="B9" s="31">
        <v>26.37890115369908</v>
      </c>
      <c r="C9" s="31">
        <v>26.55846514027293</v>
      </c>
      <c r="D9" s="31">
        <v>26.747724156995634</v>
      </c>
      <c r="E9" s="31">
        <v>26.947858499881594</v>
      </c>
      <c r="F9" s="31">
        <v>27.160248158038844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3190024000</v>
      </c>
      <c r="C5" s="18">
        <v>2819880000</v>
      </c>
      <c r="D5" s="18">
        <v>2676298000</v>
      </c>
      <c r="E5" s="18">
        <v>3155045000</v>
      </c>
      <c r="F5" s="8" t="s">
        <v>84</v>
      </c>
    </row>
    <row r="6" spans="1:6" x14ac:dyDescent="0.25">
      <c r="A6" t="s">
        <v>44</v>
      </c>
      <c r="B6" s="18">
        <v>688605000</v>
      </c>
      <c r="C6" s="18">
        <v>552240000</v>
      </c>
      <c r="D6" s="18">
        <v>522345000</v>
      </c>
      <c r="E6" s="18">
        <v>849124000</v>
      </c>
      <c r="F6" s="8" t="s">
        <v>85</v>
      </c>
    </row>
    <row r="7" spans="1:6" x14ac:dyDescent="0.25">
      <c r="A7" t="s">
        <v>86</v>
      </c>
      <c r="B7" s="18">
        <v>127981000</v>
      </c>
      <c r="C7" s="18">
        <v>119741000</v>
      </c>
      <c r="D7" s="18">
        <v>110886000</v>
      </c>
      <c r="E7" s="18">
        <v>110675000</v>
      </c>
      <c r="F7" s="8" t="s">
        <v>87</v>
      </c>
    </row>
    <row r="8" spans="1:6" x14ac:dyDescent="0.25">
      <c r="A8" t="s">
        <v>88</v>
      </c>
      <c r="B8" s="18">
        <v>224009000</v>
      </c>
      <c r="C8" s="18">
        <v>198095000</v>
      </c>
      <c r="D8" s="18">
        <v>159642000</v>
      </c>
      <c r="E8" s="18">
        <v>163249000</v>
      </c>
      <c r="F8" s="8" t="s">
        <v>89</v>
      </c>
    </row>
    <row r="9" spans="1:6" x14ac:dyDescent="0.25">
      <c r="A9" t="s">
        <v>90</v>
      </c>
      <c r="B9" s="18">
        <v>64026000</v>
      </c>
      <c r="C9" s="18">
        <v>-29690000</v>
      </c>
      <c r="D9" s="18">
        <v>4146000</v>
      </c>
      <c r="E9" s="18">
        <v>267468000</v>
      </c>
      <c r="F9" s="8" t="s">
        <v>91</v>
      </c>
    </row>
    <row r="10" spans="1:6" x14ac:dyDescent="0.25">
      <c r="A10" t="s">
        <v>92</v>
      </c>
      <c r="B10" s="18">
        <v>283239000</v>
      </c>
      <c r="C10" s="18">
        <v>76621000</v>
      </c>
      <c r="D10" s="18">
        <v>82614000</v>
      </c>
      <c r="E10" s="18">
        <v>132885000</v>
      </c>
      <c r="F10" s="8" t="s">
        <v>93</v>
      </c>
    </row>
    <row r="11" spans="1:6" x14ac:dyDescent="0.25">
      <c r="A11" t="s">
        <v>94</v>
      </c>
      <c r="B11" s="18">
        <v>321998000</v>
      </c>
      <c r="C11" s="18">
        <v>599666000</v>
      </c>
      <c r="D11" s="18">
        <v>819725000</v>
      </c>
      <c r="E11" s="18">
        <v>894385000</v>
      </c>
      <c r="F11" s="8" t="s">
        <v>95</v>
      </c>
    </row>
    <row r="12" spans="1:6" x14ac:dyDescent="0.25">
      <c r="A12" t="s">
        <v>32</v>
      </c>
      <c r="B12" s="34">
        <v>159719000</v>
      </c>
      <c r="C12" s="34">
        <v>163314000</v>
      </c>
      <c r="D12" s="34">
        <v>164304000</v>
      </c>
      <c r="E12" s="34">
        <v>169734000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54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2026-09-19T00:06:33Z</dcterms:modified>
</cp:coreProperties>
</file>