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<sst xmlns="http://schemas.openxmlformats.org/spreadsheetml/2006/main" count="121" uniqueCount="108">
  <si>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Teradyne, Inc. (TER)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</si>
  <si>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</si>
  <si>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</si>
  <si>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</si>
  <si>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</si>
  <si>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</si>
  <si>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</si>
  <si>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</si>
  <si>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</si>
  <si>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</si>
  <si>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</si>
  <si>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</si>
  <si>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</si>
  <si>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</si>
  <si>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</si>
  <si>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</si>
  <si>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</si>
  <si>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</si>
  <si>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</si>
  <si>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</si>
  <si>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</si>
  <si>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</si>
  <si>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</si>
  <si>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</si>
  <si>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100.6x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</si>
  <si>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</si>
  <si>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</si>
  <si>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</si>
  <si>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</si>
  <si>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</si>
  <si>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</si>
  <si>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</si>
  <si>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</si>
  <si>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</si>
  <si>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</si>
  <si>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</si>
  <si>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</si>
  <si>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</si>
  <si>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</si>
  <si>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</si>
  <si>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</si>
  <si>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</si>
  <si>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</si>
  <si>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</si>
  <si>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</si>
  <si>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</si>
  <si>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</si>
  <si>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</si>
  <si>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</si>
  <si>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</si>
  <si>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</si>
  <si>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</si>
  <si>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</si>
  <si>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</si>
  <si>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</si>
  <si>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</si>
  <si>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</si>
  <si>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</si>
  <si>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</si>
  <si>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</si>
  <si>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</si>
  <si>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</si>
  <si>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</si>
  <si>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</si>
  <si>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</si>
  <si>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</si>
  <si>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</si>
  <si>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</si>
  <si>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</si>
  <si>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</si>
  <si>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</si>
  <si>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</si>
  <si>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</si>
  <si>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</si>
  <si>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</si>
  <si>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</si>
  <si>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</si>
  <si>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</si>
  <si>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</si>
  <si>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</si>
  <si>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</si>
  <si>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</si>
  <si>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</si>
  <si>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</si>
  <si>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</si>
  <si>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</si>
  <si>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</si>
  <si>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</si>
  <si>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</si>
  <si>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</si>
  <si>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</si>
  <si>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</si>
  <si>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</si>
  <si>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</si>
  <si>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</si>
  <si>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</si>
  <si>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</si>
  <si>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</si>
  <si>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</si>
  <si>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</si>
  <si>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</si>
  <si>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</si>
  <si>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</si>
  <si>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</si>
  <si>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</si>
  <si>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6.3% of revenue against depreciation of 4.0%.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</si>
  <si>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52.4x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</si>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</sst>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0.21900168068830111</v>
      </c>
    </row>
    <row r="8" spans="1:2" x14ac:dyDescent="0.25">
      <c r="A8" t="s">
        <v>5</v>
      </c>
      <c r="B8" s="5">
        <v>0.13377710276620686</v>
      </c>
    </row>
    <row r="9" spans="1:2" x14ac:dyDescent="0.25">
      <c r="A9" t="s">
        <v>6</v>
      </c>
      <c r="B9" s="5">
        <v>0.03977340827962153</v>
      </c>
    </row>
    <row r="10" spans="1:3" x14ac:dyDescent="0.25">
      <c r="A10" t="s">
        <v>7</v>
      </c>
      <c r="B10" s="5">
        <v>0.06296592241930356</v>
      </c>
      <c r="C10" s="6" t="s">
        <v>8</v>
      </c>
    </row>
    <row r="11" spans="1:2" x14ac:dyDescent="0.25">
      <c r="A11" t="s">
        <v>9</v>
      </c>
      <c r="B11" s="5">
        <v>0.21981584085254163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0.18912085375537332</v>
      </c>
      <c r="C14" s="6" t="s">
        <v>13</v>
      </c>
    </row>
    <row r="15" spans="1:3" x14ac:dyDescent="0.25">
      <c r="A15" t="s">
        <v>14</v>
      </c>
      <c r="B15" s="5">
        <v>0.03348298881147242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1.50049</v>
      </c>
      <c r="C19" s="6" t="s">
        <v>21</v>
      </c>
    </row>
    <row r="20" spans="1:2" x14ac:dyDescent="0.25">
      <c r="A20" t="s">
        <v>22</v>
      </c>
      <c r="B20" s="9">
        <f>B17+B19*B18</f>
        <v>0.11241072700000002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42835947520</v>
      </c>
    </row>
    <row r="23" spans="1:2" x14ac:dyDescent="0.25">
      <c r="A23" t="s">
        <v>26</v>
      </c>
      <c r="B23" s="10">
        <v>283239000</v>
      </c>
    </row>
    <row r="24" spans="1:2" x14ac:dyDescent="0.25">
      <c r="A24" t="s">
        <v>27</v>
      </c>
      <c r="B24" s="9">
        <f>B22/(B22+B23)</f>
        <v>0.9934312536283906</v>
      </c>
    </row>
    <row r="25" spans="1:2" x14ac:dyDescent="0.25">
      <c r="A25" t="s">
        <v>28</v>
      </c>
      <c r="B25" s="9">
        <f>1-B24</f>
        <v>0.006568746371609424</v>
      </c>
    </row>
    <row r="26" spans="1:2" x14ac:dyDescent="0.25">
      <c r="A26" t="s">
        <v>29</v>
      </c>
      <c r="B26" s="11">
        <f>B24*B20+B25*B21*(1-B8)</f>
        <v>0.1119735579661781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3190024000</v>
      </c>
      <c r="C29" s="6" t="s">
        <v>32</v>
      </c>
    </row>
    <row r="30" spans="1:2" x14ac:dyDescent="0.25">
      <c r="A30" t="s">
        <v>33</v>
      </c>
      <c r="B30" s="10">
        <v>-38759000</v>
      </c>
    </row>
    <row r="31" spans="1:2" x14ac:dyDescent="0.25">
      <c r="A31" t="s">
        <v>34</v>
      </c>
      <c r="B31" s="12">
        <v>159719000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0.2463119271366514</v>
      </c>
      <c r="D5" s="5">
        <v>0.21864793624456996</v>
      </c>
      <c r="E5" s="5">
        <v>0.19098394535248855</v>
      </c>
      <c r="F5" s="5">
        <v>0.16331995446040712</v>
      </c>
      <c r="G5" s="5">
        <v>0.1356559635683257</v>
      </c>
      <c r="H5" s="5">
        <v>0.10799197267624427</v>
      </c>
      <c r="I5" s="5">
        <v>0.08032798178416284</v>
      </c>
      <c r="J5" s="5">
        <v>0.05266399089208143</v>
      </c>
      <c r="K5" s="5">
        <v>0.024999999999999994</v>
      </c>
    </row>
    <row r="6" spans="1:11" x14ac:dyDescent="0.25">
      <c r="A6" t="s">
        <v>50</v>
      </c>
      <c r="B6" s="18">
        <f>Assumptions!B29*(1+B5)</f>
        <v>4785036000</v>
      </c>
      <c r="C6" s="18">
        <f>B6*(1+C5)</f>
        <v>5963647438.578254</v>
      </c>
      <c r="D6" s="18">
        <f>C6*(1+D5)</f>
        <v>7267586643.513604</v>
      </c>
      <c r="E6" s="18">
        <f>D6*(1+E5)</f>
        <v>8655579013.882883</v>
      </c>
      <c r="F6" s="18">
        <f>E6*(1+F5)</f>
        <v>10069207784.258692</v>
      </c>
      <c r="G6" s="18">
        <f>F6*(1+G5)</f>
        <v>11435155868.60199</v>
      </c>
      <c r="H6" s="18">
        <f>G6*(1+H5)</f>
        <v>12670060908.712648</v>
      </c>
      <c r="I6" s="18">
        <f>H6*(1+I5)</f>
        <v>13687821330.591953</v>
      </c>
      <c r="J6" s="18">
        <f>I6*(1+J5)</f>
        <v>14408676628.478685</v>
      </c>
      <c r="K6" s="18">
        <f>J6*(1+K5)</f>
        <v>14768893544.19065</v>
      </c>
    </row>
    <row r="7" spans="1:11" x14ac:dyDescent="0.25">
      <c r="A7" t="s">
        <v>4</v>
      </c>
      <c r="B7" s="9">
        <f>Assumptions!B7</f>
        <v>0.21900168068830111</v>
      </c>
      <c r="C7" s="9">
        <f>Assumptions!B7</f>
        <v>0.21900168068830111</v>
      </c>
      <c r="D7" s="9">
        <f>Assumptions!B7</f>
        <v>0.21900168068830111</v>
      </c>
      <c r="E7" s="9">
        <f>Assumptions!B7</f>
        <v>0.21900168068830111</v>
      </c>
      <c r="F7" s="9">
        <f>Assumptions!B7</f>
        <v>0.21900168068830111</v>
      </c>
      <c r="G7" s="9">
        <f>Assumptions!B7</f>
        <v>0.21900168068830111</v>
      </c>
      <c r="H7" s="9">
        <f>Assumptions!B7</f>
        <v>0.21900168068830111</v>
      </c>
      <c r="I7" s="9">
        <f>Assumptions!B7</f>
        <v>0.21900168068830111</v>
      </c>
      <c r="J7" s="9">
        <f>Assumptions!B7</f>
        <v>0.21900168068830111</v>
      </c>
      <c r="K7" s="9">
        <f>Assumptions!B7</f>
        <v>0.21900168068830111</v>
      </c>
    </row>
    <row r="8" spans="1:11" x14ac:dyDescent="0.25">
      <c r="A8" t="s">
        <v>51</v>
      </c>
      <c r="B8" s="18">
        <f>B6*B7</f>
        <v>1047930926.1540256</v>
      </c>
      <c r="C8" s="18">
        <f>C6*C7</f>
        <v>1306048812.0811195</v>
      </c>
      <c r="D8" s="18">
        <f>D6*D7</f>
        <v>1591613689.4773283</v>
      </c>
      <c r="E8" s="18">
        <f>E6*E7</f>
        <v>1895586351.3707395</v>
      </c>
      <c r="F8" s="18">
        <f>F6*F7</f>
        <v>2205173427.952378</v>
      </c>
      <c r="G8" s="18">
        <f>G6*G7</f>
        <v>2504318354.1565256</v>
      </c>
      <c r="H8" s="18">
        <f>H6*H7</f>
        <v>2774764633.431214</v>
      </c>
      <c r="I8" s="18">
        <f>I6*I7</f>
        <v>2997655876.360816</v>
      </c>
      <c r="J8" s="18">
        <f>J6*J7</f>
        <v>3155524398.1310763</v>
      </c>
      <c r="K8" s="18">
        <f>K6*K7</f>
        <v>3234412508.0843525</v>
      </c>
    </row>
    <row r="9" spans="1:11" x14ac:dyDescent="0.25">
      <c r="A9" t="s">
        <v>52</v>
      </c>
      <c r="B9" s="18">
        <f>B8*(1-Assumptions!B8)</f>
        <v>907741762.9540321</v>
      </c>
      <c r="C9" s="18">
        <f>C8*(1-Assumptions!B8)</f>
        <v>1131329385.929661</v>
      </c>
      <c r="D9" s="18">
        <f>D8*(1-Assumptions!B8)</f>
        <v>1378692221.376018</v>
      </c>
      <c r="E9" s="18">
        <f>E8*(1-Assumptions!B8)</f>
        <v>1642000301.2411969</v>
      </c>
      <c r="F9" s="18">
        <f>F8*(1-Assumptions!B8)</f>
        <v>1910171715.6638837</v>
      </c>
      <c r="G9" s="18">
        <f>G8*(1-Assumptions!B8)</f>
        <v>2169297900.33323</v>
      </c>
      <c r="H9" s="18">
        <f>H8*(1-Assumptions!B8)</f>
        <v>2403564659.91265</v>
      </c>
      <c r="I9" s="18">
        <f>I8*(1-Assumptions!B8)</f>
        <v>2596638158.131171</v>
      </c>
      <c r="J9" s="18">
        <f>J8*(1-Assumptions!B8)</f>
        <v>2733387486.441022</v>
      </c>
      <c r="K9" s="18">
        <f>K8*(1-Assumptions!B8)</f>
        <v>2801722173.602047</v>
      </c>
    </row>
    <row r="10" spans="1:11" x14ac:dyDescent="0.25">
      <c r="A10" t="s">
        <v>53</v>
      </c>
      <c r="B10" s="18">
        <f>B6*Assumptions!B9</f>
        <v>190317190.4606871</v>
      </c>
      <c r="C10" s="18">
        <f>C6*Assumptions!B9</f>
        <v>237194584.41029206</v>
      </c>
      <c r="D10" s="18">
        <f>D6*Assumptions!B9</f>
        <v>289056690.77999085</v>
      </c>
      <c r="E10" s="18">
        <f>E6*Assumptions!B9</f>
        <v>344261878.0156878</v>
      </c>
      <c r="F10" s="18">
        <f>F6*Assumptions!B9</f>
        <v>400486712.2556642</v>
      </c>
      <c r="G10" s="18">
        <f>G6*Assumptions!B9</f>
        <v>454815123.1030171</v>
      </c>
      <c r="H10" s="18">
        <f>H6*Assumptions!B9</f>
        <v>503931505.44990075</v>
      </c>
      <c r="I10" s="18">
        <f>I6*Assumptions!B9</f>
        <v>544411306.2401462</v>
      </c>
      <c r="J10" s="18">
        <f>J6*Assumptions!B9</f>
        <v>573082178.3135234</v>
      </c>
      <c r="K10" s="18">
        <f>K6*Assumptions!B9</f>
        <v>587409232.7713614</v>
      </c>
    </row>
    <row r="11" spans="1:11" x14ac:dyDescent="0.25">
      <c r="A11" t="s">
        <v>54</v>
      </c>
      <c r="B11" s="18">
        <f>-B6*B19</f>
        <v>-301294205.5495746</v>
      </c>
      <c r="C11" s="18">
        <f>-C6*C19</f>
        <v>-373064436.8507829</v>
      </c>
      <c r="D11" s="18">
        <f>-D6*D19</f>
        <v>-451658115.3378541</v>
      </c>
      <c r="E11" s="18">
        <f>-E6*E19</f>
        <v>-534373087.8921694</v>
      </c>
      <c r="F11" s="18">
        <f>-F6*F19</f>
        <v>-617523516.3062875</v>
      </c>
      <c r="G11" s="18">
        <f>-G6*G19</f>
        <v>-696611545.6023879</v>
      </c>
      <c r="H11" s="18">
        <f>-H6*H19</f>
        <v>-766651586.2760743</v>
      </c>
      <c r="I11" s="18">
        <f>-I6*I19</f>
        <v>-822629971.7569113</v>
      </c>
      <c r="J11" s="18">
        <f>-J6*J19</f>
        <v>-860052568.2889917</v>
      </c>
      <c r="K11" s="18">
        <f>-K6*K19</f>
        <v>-875505992.1679357</v>
      </c>
    </row>
    <row r="12" spans="1:11" x14ac:dyDescent="0.25">
      <c r="A12" t="s">
        <v>55</v>
      </c>
      <c r="B12" s="18">
        <f>-(B6-Assumptions!B29)*Assumptions!B11</f>
        <v>-350608903.94989413</v>
      </c>
      <c r="C12" s="18">
        <f>-(C6-B6)*Assumptions!B11</f>
        <v>-259077464.40950257</v>
      </c>
      <c r="D12" s="18">
        <f>-(D6-C6)*Assumptions!B11</f>
        <v>-286626492.7534587</v>
      </c>
      <c r="E12" s="18">
        <f>-(E6-D6)*Assumptions!B11</f>
        <v>-305102709.9896354</v>
      </c>
      <c r="F12" s="18">
        <f>-(F6-E6)*Assumptions!B11</f>
        <v>-310737996.8135029</v>
      </c>
      <c r="G12" s="18">
        <f>-(G6-F6)*Assumptions!B11</f>
        <v>-300257026.7208405</v>
      </c>
      <c r="H12" s="18">
        <f>-(H6-G6)*Assumptions!B11</f>
        <v>-271451689.7649661</v>
      </c>
      <c r="I12" s="18">
        <f>-(I6-H6)*Assumptions!B11</f>
        <v>-223719862.9218369</v>
      </c>
      <c r="J12" s="18">
        <f>-(J6-I6)*Assumptions!B11</f>
        <v>-158455413.4379814</v>
      </c>
      <c r="K12" s="18">
        <f>-(K6-J6)*Assumptions!B11</f>
        <v>-79181384.21653482</v>
      </c>
    </row>
    <row r="13" spans="1:11" x14ac:dyDescent="0.25">
      <c r="A13" s="19" t="s">
        <v>56</v>
      </c>
      <c r="B13" s="20">
        <f>B9+B10+B11+B12</f>
        <v>446155843.91525036</v>
      </c>
      <c r="C13" s="20">
        <f>C9+C10+C11+C12</f>
        <v>736382069.0796678</v>
      </c>
      <c r="D13" s="20">
        <f>D9+D10+D11+D12</f>
        <v>929464304.0646961</v>
      </c>
      <c r="E13" s="20">
        <f>E9+E10+E11+E12</f>
        <v>1146786381.3750796</v>
      </c>
      <c r="F13" s="20">
        <f>F9+F10+F11+F12</f>
        <v>1382396914.7997575</v>
      </c>
      <c r="G13" s="20">
        <f>G9+G10+G11+G12</f>
        <v>1627244451.1130185</v>
      </c>
      <c r="H13" s="20">
        <f>H9+H10+H11+H12</f>
        <v>1869392889.3215103</v>
      </c>
      <c r="I13" s="20">
        <f>I9+I10+I11+I12</f>
        <v>2094699629.6925693</v>
      </c>
      <c r="J13" s="20">
        <f>J9+J10+J11+J12</f>
        <v>2287961683.0275717</v>
      </c>
      <c r="K13" s="20">
        <f>K9+K10+K11+K12</f>
        <v>2434444029.988938</v>
      </c>
    </row>
    <row r="14" spans="1:11" x14ac:dyDescent="0.25">
      <c r="A14" t="s">
        <v>57</v>
      </c>
      <c r="B14" s="21">
        <f>1/(1+Assumptions!$B$26)^(1-0.5*Assumptions!$B$32)</f>
        <v>0.9483153272343863</v>
      </c>
      <c r="C14" s="21">
        <f>1/(1+Assumptions!$B$26)^(2-0.5*Assumptions!$B$32)</f>
        <v>0.8528218323544257</v>
      </c>
      <c r="D14" s="21">
        <f>1/(1+Assumptions!$B$26)^(3-0.5*Assumptions!$B$32)</f>
        <v>0.7669443452542649</v>
      </c>
      <c r="E14" s="21">
        <f>1/(1+Assumptions!$B$26)^(4-0.5*Assumptions!$B$32)</f>
        <v>0.6897145527965804</v>
      </c>
      <c r="F14" s="21">
        <f>1/(1+Assumptions!$B$26)^(5-0.5*Assumptions!$B$32)</f>
        <v>0.6202616490792121</v>
      </c>
      <c r="G14" s="21">
        <f>1/(1+Assumptions!$B$26)^(6-0.5*Assumptions!$B$32)</f>
        <v>0.5578025166476828</v>
      </c>
      <c r="H14" s="21">
        <f>1/(1+Assumptions!$B$26)^(7-0.5*Assumptions!$B$32)</f>
        <v>0.5016328964403747</v>
      </c>
      <c r="I14" s="21">
        <f>1/(1+Assumptions!$B$26)^(8-0.5*Assumptions!$B$32)</f>
        <v>0.45111944690292044</v>
      </c>
      <c r="J14" s="21">
        <f>1/(1+Assumptions!$B$26)^(9-0.5*Assumptions!$B$32)</f>
        <v>0.40569260273421154</v>
      </c>
      <c r="K14" s="21">
        <f>1/(1+Assumptions!$B$26)^(10-0.5*Assumptions!$B$32)</f>
        <v>0.36484015274268883</v>
      </c>
    </row>
    <row r="15" spans="1:11" x14ac:dyDescent="0.25">
      <c r="A15" s="19" t="s">
        <v>58</v>
      </c>
      <c r="B15" s="20">
        <f>B13*B14</f>
        <v>423096425.1200244</v>
      </c>
      <c r="C15" s="20">
        <f>C13*C14</f>
        <v>628002705.4654655</v>
      </c>
      <c r="D15" s="20">
        <f>D13*D14</f>
        <v>712847392.1181093</v>
      </c>
      <c r="E15" s="20">
        <f>E13*E14</f>
        <v>790955256.1833218</v>
      </c>
      <c r="F15" s="20">
        <f>F13*F14</f>
        <v>857447790.0557127</v>
      </c>
      <c r="G15" s="20">
        <f>G13*G14</f>
        <v>907681050.0318189</v>
      </c>
      <c r="H15" s="20">
        <f>H13*H14</f>
        <v>937748969.65539</v>
      </c>
      <c r="I15" s="20">
        <f>I13*I14</f>
        <v>944959738.3746641</v>
      </c>
      <c r="J15" s="20">
        <f>J13*J14</f>
        <v>928209130.1436026</v>
      </c>
      <c r="K15" s="20">
        <f>K13*K14</f>
        <v>888182931.744691</v>
      </c>
    </row>
    <row r="17" spans="1:2" x14ac:dyDescent="0.25">
      <c r="A17" s="22" t="s">
        <v>59</v>
      </c>
      <c r="B17" s="23">
        <f>SUM(B15:K15)</f>
        <v>8019131388.8928</v>
      </c>
    </row>
    <row r="19" spans="1:11" x14ac:dyDescent="0.25">
      <c r="A19" t="s">
        <v>7</v>
      </c>
      <c r="B19" s="9">
        <f>Assumptions!$B$10+($B$20-Assumptions!$B$10)*0/9</f>
        <v>0.06296592241930356</v>
      </c>
      <c r="C19" s="9">
        <f>Assumptions!$B$10+($B$20-Assumptions!$B$10)*1/9</f>
        <v>0.0625564204948578</v>
      </c>
      <c r="D19" s="9">
        <f>Assumptions!$B$10+($B$20-Assumptions!$B$10)*2/9</f>
        <v>0.06214691857041203</v>
      </c>
      <c r="E19" s="9">
        <f>Assumptions!$B$10+($B$20-Assumptions!$B$10)*3/9</f>
        <v>0.06173741664596627</v>
      </c>
      <c r="F19" s="9">
        <f>Assumptions!$B$10+($B$20-Assumptions!$B$10)*4/9</f>
        <v>0.06132791472152051</v>
      </c>
      <c r="G19" s="9">
        <f>Assumptions!$B$10+($B$20-Assumptions!$B$10)*5/9</f>
        <v>0.06091841279707475</v>
      </c>
      <c r="H19" s="9">
        <f>Assumptions!$B$10+($B$20-Assumptions!$B$10)*6/9</f>
        <v>0.06050891087262899</v>
      </c>
      <c r="I19" s="9">
        <f>Assumptions!$B$10+($B$20-Assumptions!$B$10)*7/9</f>
        <v>0.060099408948183226</v>
      </c>
      <c r="J19" s="9">
        <f>Assumptions!$B$10+($B$20-Assumptions!$B$10)*8/9</f>
        <v>0.059689907023737464</v>
      </c>
      <c r="K19" s="9">
        <f>Assumptions!$B$10+($B$20-Assumptions!$B$10)*9/9</f>
        <v>0.0592804050992917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0.0592804050992917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2434444029.988938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2882196477.0401797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0.13219060459793264</v>
      </c>
    </row>
    <row r="7" spans="1:2" x14ac:dyDescent="0.25">
      <c r="A7" t="s">
        <v>66</v>
      </c>
      <c r="B7" s="18">
        <f>-MAX(B5,0)*B6</f>
        <v>-380999294.8699728</v>
      </c>
    </row>
    <row r="8" spans="1:2" x14ac:dyDescent="0.25">
      <c r="A8" t="s">
        <v>67</v>
      </c>
      <c r="B8" s="18">
        <f>IF(OR(Assumptions!$B$33=0,Assumptions!B12&lt;=0),B5,MAX(B5+B7,0))</f>
        <v>2501197182.170207</v>
      </c>
    </row>
    <row r="9" spans="1:2" x14ac:dyDescent="0.25">
      <c r="A9" t="s">
        <v>68</v>
      </c>
      <c r="B9" s="18">
        <f>B8*(1+Assumptions!B12)/(Assumptions!B26-Assumptions!B12)</f>
        <v>29477086733.89484</v>
      </c>
    </row>
    <row r="10" spans="1:2" x14ac:dyDescent="0.25">
      <c r="A10" t="s">
        <v>69</v>
      </c>
      <c r="B10" s="18">
        <f>B9/(1+Assumptions!B26)^(10-0.5*Assumptions!B32)</f>
        <v>10754424826.40368</v>
      </c>
    </row>
    <row r="11" spans="1:2" x14ac:dyDescent="0.25">
      <c r="A11" t="s">
        <v>70</v>
      </c>
      <c r="B11" s="18">
        <f>Forecast!B17+B10</f>
        <v>18773556215.296482</v>
      </c>
    </row>
    <row r="12" spans="1:2" x14ac:dyDescent="0.25">
      <c r="A12" t="s">
        <v>71</v>
      </c>
      <c r="B12" s="18">
        <f>-Assumptions!B30</f>
        <v>38759000</v>
      </c>
    </row>
    <row r="13" spans="1:2" x14ac:dyDescent="0.25">
      <c r="A13" t="s">
        <v>72</v>
      </c>
      <c r="B13" s="18">
        <f>B11+B12</f>
        <v>18812315215.296482</v>
      </c>
    </row>
    <row r="14" spans="1:2" x14ac:dyDescent="0.25">
      <c r="A14" s="19" t="s">
        <v>73</v>
      </c>
      <c r="B14" s="24">
        <f>B13/Assumptions!B31</f>
        <v>117.78382794342866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3821821740.855714</v>
      </c>
    </row>
    <row r="18" spans="1:2" x14ac:dyDescent="0.25">
      <c r="A18" t="s">
        <v>68</v>
      </c>
      <c r="B18" s="18">
        <f>B17*Assumptions!B13</f>
        <v>76436434817.11427</v>
      </c>
    </row>
    <row r="19" spans="1:2" x14ac:dyDescent="0.25">
      <c r="A19" t="s">
        <v>69</v>
      </c>
      <c r="B19" s="18">
        <f>B18/(1+Assumptions!B26)^(10-0.5*Assumptions!B32)</f>
        <v>27887080553.78255</v>
      </c>
    </row>
    <row r="20" spans="1:2" x14ac:dyDescent="0.25">
      <c r="A20" t="s">
        <v>70</v>
      </c>
      <c r="B20" s="18">
        <f>Forecast!B17+B19</f>
        <v>35906211942.675354</v>
      </c>
    </row>
    <row r="21" spans="1:2" x14ac:dyDescent="0.25">
      <c r="A21" t="s">
        <v>71</v>
      </c>
      <c r="B21" s="18">
        <f>-Assumptions!B30</f>
        <v>38759000</v>
      </c>
    </row>
    <row r="22" spans="1:2" x14ac:dyDescent="0.25">
      <c r="A22" t="s">
        <v>72</v>
      </c>
      <c r="B22" s="18">
        <f>B20+B21</f>
        <v>35944970942.675354</v>
      </c>
    </row>
    <row r="23" spans="1:2" x14ac:dyDescent="0.25">
      <c r="A23" s="19" t="s">
        <v>73</v>
      </c>
      <c r="B23" s="25">
        <f>B22/Assumptions!B31</f>
        <v>225.05131476327395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274.37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117.78382794342866</v>
      </c>
    </row>
    <row r="29" spans="1:2" x14ac:dyDescent="0.25">
      <c r="A29" s="19" t="s">
        <v>81</v>
      </c>
      <c r="B29" s="11">
        <f>B28/B26-1</f>
        <v>-0.5707117106701582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0.091974</v>
      </c>
      <c r="B5" s="31">
        <v>152.92621150413345</v>
      </c>
      <c r="C5" s="31">
        <v>156.00573541069602</v>
      </c>
      <c r="D5" s="31">
        <v>159.6765429534329</v>
      </c>
      <c r="E5" s="31">
        <v>164.08174663988942</v>
      </c>
      <c r="F5" s="31">
        <v>169.41469680804076</v>
      </c>
    </row>
    <row r="6" spans="1:6" x14ac:dyDescent="0.25">
      <c r="A6" s="30">
        <v>0.101974</v>
      </c>
      <c r="B6" s="31">
        <v>132.1416444732437</v>
      </c>
      <c r="C6" s="31">
        <v>133.8643873795662</v>
      </c>
      <c r="D6" s="31">
        <v>135.9190119152974</v>
      </c>
      <c r="E6" s="31">
        <v>138.3746850635302</v>
      </c>
      <c r="F6" s="31">
        <v>141.32122868330728</v>
      </c>
    </row>
    <row r="7" spans="1:6" x14ac:dyDescent="0.25">
      <c r="A7" s="30">
        <v>0.111974</v>
      </c>
      <c r="B7" s="31">
        <v>115.81546789642502</v>
      </c>
      <c r="C7" s="31">
        <v>116.70305129446417</v>
      </c>
      <c r="D7" s="32">
        <v>117.7831217782452</v>
      </c>
      <c r="E7" s="31">
        <v>119.09090156805894</v>
      </c>
      <c r="F7" s="31">
        <v>120.67076460303403</v>
      </c>
    </row>
    <row r="8" spans="1:6" x14ac:dyDescent="0.25">
      <c r="A8" s="30">
        <v>0.121974</v>
      </c>
      <c r="B8" s="31">
        <v>102.6861664790354</v>
      </c>
      <c r="C8" s="31">
        <v>103.04596111849594</v>
      </c>
      <c r="D8" s="31">
        <v>103.51960929126136</v>
      </c>
      <c r="E8" s="31">
        <v>104.12567932098374</v>
      </c>
      <c r="F8" s="31">
        <v>104.88700938751396</v>
      </c>
    </row>
    <row r="9" spans="1:6" x14ac:dyDescent="0.25">
      <c r="A9" s="30">
        <v>0.131974</v>
      </c>
      <c r="B9" s="31">
        <v>91.92446679259318</v>
      </c>
      <c r="C9" s="31">
        <v>91.94534713579924</v>
      </c>
      <c r="D9" s="31">
        <v>92.03406895702933</v>
      </c>
      <c r="E9" s="31">
        <v>92.20061148795389</v>
      </c>
      <c r="F9" s="31">
        <v>92.45701208544607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3190024000</v>
      </c>
      <c r="C5" s="18">
        <v>2819880000</v>
      </c>
      <c r="D5" s="18">
        <v>2676298000</v>
      </c>
      <c r="E5" s="18">
        <v>3155045000</v>
      </c>
      <c r="F5" s="6" t="s">
        <v>91</v>
      </c>
    </row>
    <row r="6" spans="1:6" x14ac:dyDescent="0.25">
      <c r="A6" t="s">
        <v>51</v>
      </c>
      <c r="B6" s="18">
        <v>688605000</v>
      </c>
      <c r="C6" s="18">
        <v>552240000</v>
      </c>
      <c r="D6" s="18">
        <v>522345000</v>
      </c>
      <c r="E6" s="18">
        <v>849124000</v>
      </c>
      <c r="F6" s="6" t="s">
        <v>92</v>
      </c>
    </row>
    <row r="7" spans="1:6" x14ac:dyDescent="0.25">
      <c r="A7" t="s">
        <v>93</v>
      </c>
      <c r="B7" s="18">
        <v>127981000</v>
      </c>
      <c r="C7" s="18">
        <v>119741000</v>
      </c>
      <c r="D7" s="18">
        <v>110886000</v>
      </c>
      <c r="E7" s="18">
        <v>110675000</v>
      </c>
      <c r="F7" s="6" t="s">
        <v>94</v>
      </c>
    </row>
    <row r="8" spans="1:6" x14ac:dyDescent="0.25">
      <c r="A8" t="s">
        <v>95</v>
      </c>
      <c r="B8" s="18">
        <v>224009000</v>
      </c>
      <c r="C8" s="18">
        <v>198095000</v>
      </c>
      <c r="D8" s="18">
        <v>159642000</v>
      </c>
      <c r="E8" s="18">
        <v>163249000</v>
      </c>
      <c r="F8" s="6" t="s">
        <v>96</v>
      </c>
    </row>
    <row r="9" spans="1:6" x14ac:dyDescent="0.25">
      <c r="A9" t="s">
        <v>97</v>
      </c>
      <c r="B9" s="18">
        <v>64026000</v>
      </c>
      <c r="C9" s="18">
        <v>-29690000</v>
      </c>
      <c r="D9" s="18">
        <v>4146000</v>
      </c>
      <c r="E9" s="18">
        <v>267468000</v>
      </c>
      <c r="F9" s="6" t="s">
        <v>98</v>
      </c>
    </row>
    <row r="10" spans="1:6" x14ac:dyDescent="0.25">
      <c r="A10" t="s">
        <v>99</v>
      </c>
      <c r="B10" s="18">
        <v>283239000</v>
      </c>
      <c r="C10" s="18">
        <v>76621000</v>
      </c>
      <c r="D10" s="18">
        <v>82614000</v>
      </c>
      <c r="E10" s="18">
        <v>132885000</v>
      </c>
      <c r="F10" s="6" t="s">
        <v>100</v>
      </c>
    </row>
    <row r="11" spans="1:6" x14ac:dyDescent="0.25">
      <c r="A11" t="s">
        <v>101</v>
      </c>
      <c r="B11" s="18">
        <v>321998000</v>
      </c>
      <c r="C11" s="18">
        <v>599666000</v>
      </c>
      <c r="D11" s="18">
        <v>819725000</v>
      </c>
      <c r="E11" s="18">
        <v>894385000</v>
      </c>
      <c r="F11" s="6" t="s">
        <v>102</v>
      </c>
    </row>
    <row r="12" spans="1:6" x14ac:dyDescent="0.25">
      <c r="A12" t="s">
        <v>34</v>
      </c>
      <c r="B12" s="34">
        <v>159719000</v>
      </c>
      <c r="C12" s="34">
        <v>163314000</v>
      </c>
      <c r="D12" s="34">
        <v>164304000</v>
      </c>
      <c r="E12" s="34">
        <v>169734000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