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<sst xmlns="http://schemas.openxmlformats.org/spreadsheetml/2006/main" count="70" uniqueCount="67">
  <si>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Truist Financial Corporation (TFC)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</si>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</sst>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0.93702</v>
      </c>
    </row>
    <row r="9" spans="1:2" x14ac:dyDescent="0.25">
      <c r="A9" t="s">
        <v>8</v>
      </c>
      <c r="B9" s="8">
        <f>B6+B8*B7</f>
        <v>0.088575946</v>
      </c>
    </row>
    <row r="10" spans="1:2" x14ac:dyDescent="0.25">
      <c r="A10" t="s">
        <v>9</v>
      </c>
      <c r="B10" s="8">
        <f>MEDIAN('Source data'!B9:E9)</f>
        <v>0.08524071107042039</v>
      </c>
    </row>
    <row r="11" spans="1:2" x14ac:dyDescent="0.25">
      <c r="A11" t="s">
        <v>10</v>
      </c>
      <c r="B11" s="8">
        <f>IFERROR(MIN(MAX(MEDIAN('Source data'!B10:E10),0),1),0)</f>
        <v>0.6519156719438732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60273000000</v>
      </c>
    </row>
    <row r="15" spans="1:2" x14ac:dyDescent="0.25">
      <c r="A15" t="s">
        <v>14</v>
      </c>
      <c r="B15" s="10">
        <f>'Source data'!B8</f>
        <v>1302700000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0.029670955635973727</v>
      </c>
    </row>
    <row r="18" spans="1:2" x14ac:dyDescent="0.25">
      <c r="A18" t="s">
        <v>17</v>
      </c>
      <c r="B18" s="8">
        <f>MIN(B10,B12)</f>
        <v>0.08524071107042039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0.08524071107042039</v>
      </c>
      <c r="C22" s="8">
        <f>$B$10+($B$18-$B$10)*C21/$B$16</f>
        <v>0.08524071107042039</v>
      </c>
      <c r="D22" s="8">
        <f>$B$10+($B$18-$B$10)*D21/$B$16</f>
        <v>0.08524071107042039</v>
      </c>
      <c r="E22" s="8">
        <f>$B$10+($B$18-$B$10)*E21/$B$16</f>
        <v>0.08524071107042039</v>
      </c>
      <c r="F22" s="8">
        <f>$B$10+($B$18-$B$10)*F21/$B$16</f>
        <v>0.08524071107042039</v>
      </c>
      <c r="G22" s="8">
        <f>$B$10+($B$18-$B$10)*G21/$B$16</f>
        <v>0.08524071107042039</v>
      </c>
      <c r="H22" s="8">
        <f>$B$10+($B$18-$B$10)*H21/$B$16</f>
        <v>0.08524071107042039</v>
      </c>
      <c r="I22" s="8">
        <f>$B$10+($B$18-$B$10)*I21/$B$16</f>
        <v>0.08524071107042039</v>
      </c>
      <c r="J22" s="8">
        <f>$B$10+($B$18-$B$10)*J21/$B$16</f>
        <v>0.08524071107042039</v>
      </c>
      <c r="K22" s="8">
        <f>$B$10+($B$18-$B$10)*K21/$B$16</f>
        <v>0.08524071107042039</v>
      </c>
    </row>
    <row r="23" spans="1:11" x14ac:dyDescent="0.25">
      <c r="A23" t="s">
        <v>31</v>
      </c>
      <c r="B23" s="8">
        <f>$B$17+($B$13-$B$17)*B21/$B$16</f>
        <v>0.029203860072376353</v>
      </c>
      <c r="C23" s="8">
        <f>$B$17+($B$13-$B$17)*C21/$B$16</f>
        <v>0.028736764508778982</v>
      </c>
      <c r="D23" s="8">
        <f>$B$17+($B$13-$B$17)*D21/$B$16</f>
        <v>0.02826966894518161</v>
      </c>
      <c r="E23" s="8">
        <f>$B$17+($B$13-$B$17)*E21/$B$16</f>
        <v>0.027802573381584237</v>
      </c>
      <c r="F23" s="8">
        <f>$B$17+($B$13-$B$17)*F21/$B$16</f>
        <v>0.027335477817986863</v>
      </c>
      <c r="G23" s="8">
        <f>$B$17+($B$13-$B$17)*G21/$B$16</f>
        <v>0.026868382254389492</v>
      </c>
      <c r="H23" s="8">
        <f>$B$17+($B$13-$B$17)*H21/$B$16</f>
        <v>0.02640128669079212</v>
      </c>
      <c r="I23" s="8">
        <f>$B$17+($B$13-$B$17)*I21/$B$16</f>
        <v>0.025934191127194747</v>
      </c>
      <c r="J23" s="8">
        <f>$B$17+($B$13-$B$17)*J21/$B$16</f>
        <v>0.025467095563597372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60273000000</v>
      </c>
      <c r="C24" s="9">
        <f>B24*(1+B23)</f>
        <v>62033204258.142334</v>
      </c>
      <c r="D24" s="9">
        <f>C24*(1+C23)</f>
        <v>63815837840.63356</v>
      </c>
      <c r="E24" s="9">
        <f>D24*(1+D23)</f>
        <v>65619890449.847664</v>
      </c>
      <c r="F24" s="9">
        <f>E24*(1+E23)</f>
        <v>67444292269.37108</v>
      </c>
      <c r="G24" s="9">
        <f>F24*(1+F23)</f>
        <v>69287914224.6503</v>
      </c>
      <c r="H24" s="9">
        <f>G24*(1+G23)</f>
        <v>71149568389.64757</v>
      </c>
      <c r="I24" s="9">
        <f>H24*(1+H23)</f>
        <v>73028008542.62877</v>
      </c>
      <c r="J24" s="9">
        <f>I24*(1+I23)</f>
        <v>74921930873.81172</v>
      </c>
      <c r="K24" s="9">
        <f>J24*(1+J23)</f>
        <v>76829974847.18433</v>
      </c>
    </row>
    <row r="25" spans="1:11" x14ac:dyDescent="0.25">
      <c r="A25" t="s">
        <v>33</v>
      </c>
      <c r="B25" s="9">
        <f>(B22-$B$9)*B24</f>
        <v>-201024614.91055208</v>
      </c>
      <c r="C25" s="9">
        <f>(C22-$B$9)*C24</f>
        <v>-206895309.63550317</v>
      </c>
      <c r="D25" s="9">
        <f>(D22-$B$9)*D24</f>
        <v>-212840811.42646953</v>
      </c>
      <c r="E25" s="9">
        <f>(E22-$B$9)*E24</f>
        <v>-218857750.70351967</v>
      </c>
      <c r="F25" s="9">
        <f>(F22-$B$9)*F24</f>
        <v>-224942559.37758276</v>
      </c>
      <c r="G25" s="9">
        <f>(G22-$B$9)*G24</f>
        <v>-231091471.7197699</v>
      </c>
      <c r="H25" s="9">
        <f>(H22-$B$9)*H24</f>
        <v>-237300525.71766615</v>
      </c>
      <c r="I25" s="9">
        <f>(I22-$B$9)*I24</f>
        <v>-243565564.9290139</v>
      </c>
      <c r="J25" s="9">
        <f>(J22-$B$9)*J24</f>
        <v>-249882240.84188616</v>
      </c>
      <c r="K25" s="9">
        <f>(K22-$B$9)*K24</f>
        <v>-256246015.74905235</v>
      </c>
    </row>
    <row r="26" spans="1:11" x14ac:dyDescent="0.25">
      <c r="A26" t="s">
        <v>34</v>
      </c>
      <c r="B26" s="14">
        <f>1/(1+$B$9)^B21</f>
        <v>0.9186313584040925</v>
      </c>
      <c r="C26" s="14">
        <f>1/(1+$B$9)^C21</f>
        <v>0.8438835726433482</v>
      </c>
      <c r="D26" s="14">
        <f>1/(1+$B$9)^D21</f>
        <v>0.7752179126722577</v>
      </c>
      <c r="E26" s="14">
        <f>1/(1+$B$9)^E21</f>
        <v>0.7121394841773011</v>
      </c>
      <c r="F26" s="14">
        <f>1/(1+$B$9)^F21</f>
        <v>0.6541936617229839</v>
      </c>
      <c r="G26" s="14">
        <f>1/(1+$B$9)^G21</f>
        <v>0.6009628121279321</v>
      </c>
      <c r="H26" s="14">
        <f>1/(1+$B$9)^H21</f>
        <v>0.5520632844554256</v>
      </c>
      <c r="I26" s="14">
        <f>1/(1+$B$9)^I21</f>
        <v>0.5071426449243126</v>
      </c>
      <c r="J26" s="14">
        <f>1/(1+$B$9)^J21</f>
        <v>0.4658771368114657</v>
      </c>
      <c r="K26" s="14">
        <f>1/(1+$B$9)^K21</f>
        <v>0.42796934703852596</v>
      </c>
    </row>
    <row r="27" spans="1:11" x14ac:dyDescent="0.25">
      <c r="A27" s="15" t="s">
        <v>35</v>
      </c>
      <c r="B27" s="16">
        <f>B25*B26</f>
        <v>-184667515.06794006</v>
      </c>
      <c r="C27" s="16">
        <f>C25*C26</f>
        <v>-174595553.05836016</v>
      </c>
      <c r="D27" s="16">
        <f>D25*D26</f>
        <v>-164998009.56549734</v>
      </c>
      <c r="E27" s="16">
        <f>E25*E26</f>
        <v>-155857245.69420886</v>
      </c>
      <c r="F27" s="16">
        <f>F25*F26</f>
        <v>-147155996.5965606</v>
      </c>
      <c r="G27" s="16">
        <f>G25*G26</f>
        <v>-138877380.7034954</v>
      </c>
      <c r="H27" s="16">
        <f>H25*H26</f>
        <v>-131004907.63069399</v>
      </c>
      <c r="I27" s="16">
        <f>I25*I26</f>
        <v>-123522484.81058452</v>
      </c>
      <c r="J27" s="16">
        <f>J25*J26</f>
        <v>-116414422.90345101</v>
      </c>
      <c r="K27" s="16">
        <f>K25*K26</f>
        <v>-109665440.04134578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60273000000</v>
      </c>
    </row>
    <row r="31" spans="1:2" x14ac:dyDescent="0.25">
      <c r="A31" t="s">
        <v>38</v>
      </c>
      <c r="B31" s="9">
        <f>SUM(B27:K27)</f>
        <v>-1446758956.0721376</v>
      </c>
    </row>
    <row r="32" spans="1:2" x14ac:dyDescent="0.25">
      <c r="A32" t="s">
        <v>39</v>
      </c>
      <c r="B32" s="9">
        <f>K24*(1+K23)</f>
        <v>78750724218.36392</v>
      </c>
    </row>
    <row r="33" spans="1:2" x14ac:dyDescent="0.25">
      <c r="A33" t="s">
        <v>40</v>
      </c>
      <c r="B33" s="9">
        <f>(B18-B9)*B32</f>
        <v>-262652166.14277866</v>
      </c>
    </row>
    <row r="34" spans="1:2" x14ac:dyDescent="0.25">
      <c r="A34" t="s">
        <v>41</v>
      </c>
      <c r="B34" s="9">
        <f>B33/(B9-B13)</f>
        <v>-4131313533.9390574</v>
      </c>
    </row>
    <row r="35" spans="1:2" x14ac:dyDescent="0.25">
      <c r="A35" t="s">
        <v>42</v>
      </c>
      <c r="B35" s="9">
        <f>B34*K26</f>
        <v>-1768075555.5313234</v>
      </c>
    </row>
    <row r="36" spans="1:2" x14ac:dyDescent="0.25">
      <c r="A36" s="15" t="s">
        <v>43</v>
      </c>
      <c r="B36" s="16">
        <f>B30+B31+B35</f>
        <v>57058165488.39654</v>
      </c>
    </row>
    <row r="37" spans="1:2" x14ac:dyDescent="0.25">
      <c r="A37" s="15" t="s">
        <v>44</v>
      </c>
      <c r="B37" s="17">
        <f>B36/B15</f>
        <v>43.79992744944848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48.79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43.79992744944848</v>
      </c>
    </row>
    <row r="43" spans="1:2" x14ac:dyDescent="0.25">
      <c r="A43" s="15" t="s">
        <v>48</v>
      </c>
      <c r="B43" s="21">
        <f>B42/B40-1</f>
        <v>-0.10227654336035086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4974000000</v>
      </c>
      <c r="C5" s="9">
        <v>4469000000</v>
      </c>
      <c r="D5" s="9">
        <v>-1452000000</v>
      </c>
      <c r="E5" s="9">
        <v>5927000000</v>
      </c>
      <c r="F5" s="6" t="s">
        <v>57</v>
      </c>
    </row>
    <row r="6" spans="1:6" x14ac:dyDescent="0.25">
      <c r="A6" t="s">
        <v>37</v>
      </c>
      <c r="B6" s="9">
        <v>60273000000</v>
      </c>
      <c r="C6" s="9">
        <v>57772000000</v>
      </c>
      <c r="D6" s="9">
        <v>52428000000</v>
      </c>
      <c r="E6" s="9">
        <v>53841000000</v>
      </c>
      <c r="F6" s="6" t="s">
        <v>58</v>
      </c>
    </row>
    <row r="7" spans="1:6" x14ac:dyDescent="0.25">
      <c r="A7" t="s">
        <v>59</v>
      </c>
      <c r="B7" s="9">
        <v>2996000000</v>
      </c>
      <c r="C7" s="9">
        <v>3135000000</v>
      </c>
      <c r="D7" s="9">
        <v>3131000000</v>
      </c>
      <c r="E7" s="9">
        <v>2989000000</v>
      </c>
      <c r="F7" s="6" t="s">
        <v>60</v>
      </c>
    </row>
    <row r="8" spans="1:6" x14ac:dyDescent="0.25">
      <c r="A8" t="s">
        <v>14</v>
      </c>
      <c r="B8" s="10">
        <v>1302700000</v>
      </c>
      <c r="C8" s="10">
        <v>1331087000</v>
      </c>
      <c r="D8" s="10">
        <v>1339895000</v>
      </c>
      <c r="E8" s="10">
        <v>1338462000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0.08609707124558609</v>
      </c>
      <c r="C9" s="8">
        <f>IF(AND(ISNUMBER(C5),N(D6)&gt;0),C5/D6,"")</f>
        <v>0.08524071107042039</v>
      </c>
      <c r="D9" s="8">
        <f>IF(AND(ISNUMBER(D5),N(E6)&gt;0),D5/E6,"")</f>
        <v>-0.02696829553685853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0.6023321270607157</v>
      </c>
      <c r="C10" s="8">
        <f>IF(AND(ISNUMBER(C9),N(C5)&gt;0,ISNUMBER(C7)),C7/C5,"")</f>
        <v>0.7014992168270306</v>
      </c>
      <c r="D10" s="8" t="str">
        <f>IF(AND(ISNUMBER(D9),N(D5)&gt;0,ISNUMBER(D7)),D7/D5,"")</f>
        <v/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