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<sst xmlns="http://schemas.openxmlformats.org/spreadsheetml/2006/main" count="120" uniqueCount="107">
  <si>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Target Corporation (TGT)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</si>
  <si>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</si>
  <si>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</si>
  <si>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</si>
  <si>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</si>
  <si>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</si>
  <si>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</si>
  <si>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</si>
  <si>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</si>
  <si>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</si>
  <si>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</si>
  <si>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</si>
  <si>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</si>
  <si>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</si>
  <si>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</si>
  <si>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</si>
  <si>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</si>
  <si>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</si>
  <si>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</si>
  <si>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</si>
  <si>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</si>
  <si>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</si>
  <si>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</si>
  <si>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</si>
  <si>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11.5x interest cover. Book interest / average debt was lower, at 2.2%.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</si>
  <si>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</si>
  <si>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</si>
  <si>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</si>
  <si>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</si>
  <si>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</si>
  <si>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</si>
  <si>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</si>
  <si>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</si>
  <si>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</si>
  <si>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</si>
  <si>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</si>
  <si>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</si>
  <si>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</si>
  <si>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</si>
  <si>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</si>
  <si>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</si>
  <si>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</si>
  <si>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</si>
  <si>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</si>
  <si>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</si>
  <si>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</si>
  <si>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</si>
  <si>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</si>
  <si>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</si>
  <si>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</si>
  <si>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</si>
  <si>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</si>
  <si>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</si>
  <si>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</si>
  <si>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</si>
  <si>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</si>
  <si>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</si>
  <si>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</si>
  <si>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</si>
  <si>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</si>
  <si>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</si>
  <si>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</si>
  <si>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</si>
  <si>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</si>
  <si>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</si>
  <si>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</si>
  <si>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</si>
  <si>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</si>
  <si>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</si>
  <si>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</si>
  <si>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</si>
  <si>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</si>
  <si>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</si>
  <si>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</si>
  <si>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</si>
  <si>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</si>
  <si>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</si>
  <si>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</si>
  <si>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</si>
  <si>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</si>
  <si>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</si>
  <si>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</si>
  <si>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</si>
  <si>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</si>
  <si>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</si>
  <si>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</si>
  <si>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</si>
  <si>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</si>
  <si>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</si>
  <si>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</si>
  <si>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</si>
  <si>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</si>
  <si>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</si>
  <si>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</si>
  <si>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</si>
  <si>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</si>
  <si>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</si>
  <si>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</si>
  <si>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</si>
  <si>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</si>
  <si>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</si>
  <si>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</si>
  <si>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</si>
  <si>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</si>
  <si>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</si>
  <si>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4.0% of revenue against depreciation of 2.7%.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</si>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</sst>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0.05166535961061269</v>
      </c>
    </row>
    <row r="7" spans="1:2" x14ac:dyDescent="0.25">
      <c r="A7" t="s">
        <v>4</v>
      </c>
      <c r="B7" s="5">
        <v>0.04736549848463151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0.027176031399796477</v>
      </c>
    </row>
    <row r="10" spans="1:3" x14ac:dyDescent="0.25">
      <c r="A10" t="s">
        <v>7</v>
      </c>
      <c r="B10" s="5">
        <v>0.03952548026816946</v>
      </c>
      <c r="C10" s="6" t="s">
        <v>8</v>
      </c>
    </row>
    <row r="11" spans="1:2" x14ac:dyDescent="0.25">
      <c r="A11" t="s">
        <v>9</v>
      </c>
      <c r="B11" s="5">
        <v>0.007732962858912834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10.514303193309901</v>
      </c>
    </row>
    <row r="14" spans="1:3" x14ac:dyDescent="0.25">
      <c r="A14" t="s">
        <v>12</v>
      </c>
      <c r="B14" s="5">
        <v>0.133795154480257</v>
      </c>
      <c r="C14" s="6" t="s">
        <v>13</v>
      </c>
    </row>
    <row r="15" spans="1:3" x14ac:dyDescent="0.25">
      <c r="A15" t="s">
        <v>14</v>
      </c>
      <c r="B15" s="5">
        <v>0.027176031399796477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0.9544400000000001</v>
      </c>
      <c r="C19" s="6" t="s">
        <v>21</v>
      </c>
    </row>
    <row r="20" spans="1:2" x14ac:dyDescent="0.25">
      <c r="A20" t="s">
        <v>22</v>
      </c>
      <c r="B20" s="9">
        <f>B17+B19*B18</f>
        <v>0.089312812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71951515648</v>
      </c>
    </row>
    <row r="23" spans="1:2" x14ac:dyDescent="0.25">
      <c r="A23" t="s">
        <v>26</v>
      </c>
      <c r="B23" s="10">
        <v>20290000000</v>
      </c>
    </row>
    <row r="24" spans="1:2" x14ac:dyDescent="0.25">
      <c r="A24" t="s">
        <v>27</v>
      </c>
      <c r="B24" s="9">
        <f>B22/(B22+B23)</f>
        <v>0.7800339699812822</v>
      </c>
    </row>
    <row r="25" spans="1:2" x14ac:dyDescent="0.25">
      <c r="A25" t="s">
        <v>28</v>
      </c>
      <c r="B25" s="9">
        <f>1-B24</f>
        <v>0.21996603001871784</v>
      </c>
    </row>
    <row r="26" spans="1:2" x14ac:dyDescent="0.25">
      <c r="A26" t="s">
        <v>29</v>
      </c>
      <c r="B26" s="11">
        <f>B24*B20+B25*B21*(1-B8)</f>
        <v>0.07886657860161274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104780000000</v>
      </c>
      <c r="C29" s="6" t="s">
        <v>32</v>
      </c>
    </row>
    <row r="30" spans="1:2" x14ac:dyDescent="0.25">
      <c r="A30" t="s">
        <v>33</v>
      </c>
      <c r="B30" s="10">
        <v>14802000000</v>
      </c>
    </row>
    <row r="31" spans="1:2" x14ac:dyDescent="0.25">
      <c r="A31" t="s">
        <v>34</v>
      </c>
      <c r="B31" s="12">
        <v>455600000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0.05166535961061269</v>
      </c>
      <c r="C5" s="5">
        <v>0.03298918284128227</v>
      </c>
      <c r="D5" s="5">
        <v>0.03199053498612199</v>
      </c>
      <c r="E5" s="5">
        <v>0.030991887130961703</v>
      </c>
      <c r="F5" s="5">
        <v>0.02999323927580142</v>
      </c>
      <c r="G5" s="5">
        <v>0.028994591420641137</v>
      </c>
      <c r="H5" s="5">
        <v>0.027995943565480852</v>
      </c>
      <c r="I5" s="5">
        <v>0.02699729571032057</v>
      </c>
      <c r="J5" s="5">
        <v>0.025998647855160286</v>
      </c>
      <c r="K5" s="5">
        <v>0.025</v>
      </c>
    </row>
    <row r="6" spans="1:11" x14ac:dyDescent="0.25">
      <c r="A6" t="s">
        <v>50</v>
      </c>
      <c r="B6" s="18">
        <f>Assumptions!B29*(1+B5)</f>
        <v>110193496380</v>
      </c>
      <c r="C6" s="18">
        <f>B6*(1+C5)</f>
        <v>113828689780</v>
      </c>
      <c r="D6" s="18">
        <f>C6*(1+D5)</f>
        <v>117470130462.83153</v>
      </c>
      <c r="E6" s="18">
        <f>D6*(1+E5)</f>
        <v>121110751487.39496</v>
      </c>
      <c r="F6" s="18">
        <f>E6*(1+F5)</f>
        <v>124743255235.62851</v>
      </c>
      <c r="G6" s="18">
        <f>F6*(1+G5)</f>
        <v>128360134953.6663</v>
      </c>
      <c r="H6" s="18">
        <f>G6*(1+H5)</f>
        <v>131953698047.88666</v>
      </c>
      <c r="I6" s="18">
        <f>H6*(1+I5)</f>
        <v>135516091054.1558</v>
      </c>
      <c r="J6" s="18">
        <f>I6*(1+J5)</f>
        <v>139039326184.18066</v>
      </c>
      <c r="K6" s="18">
        <f>J6*(1+K5)</f>
        <v>142515309338.78516</v>
      </c>
    </row>
    <row r="7" spans="1:11" x14ac:dyDescent="0.25">
      <c r="A7" t="s">
        <v>4</v>
      </c>
      <c r="B7" s="9">
        <f>Assumptions!B7</f>
        <v>0.04736549848463151</v>
      </c>
      <c r="C7" s="9">
        <f>Assumptions!B7</f>
        <v>0.04736549848463151</v>
      </c>
      <c r="D7" s="9">
        <f>Assumptions!B7</f>
        <v>0.04736549848463151</v>
      </c>
      <c r="E7" s="9">
        <f>Assumptions!B7</f>
        <v>0.04736549848463151</v>
      </c>
      <c r="F7" s="9">
        <f>Assumptions!B7</f>
        <v>0.04736549848463151</v>
      </c>
      <c r="G7" s="9">
        <f>Assumptions!B7</f>
        <v>0.04736549848463151</v>
      </c>
      <c r="H7" s="9">
        <f>Assumptions!B7</f>
        <v>0.04736549848463151</v>
      </c>
      <c r="I7" s="9">
        <f>Assumptions!B7</f>
        <v>0.04736549848463151</v>
      </c>
      <c r="J7" s="9">
        <f>Assumptions!B7</f>
        <v>0.04736549848463151</v>
      </c>
      <c r="K7" s="9">
        <f>Assumptions!B7</f>
        <v>0.04736549848463151</v>
      </c>
    </row>
    <row r="8" spans="1:11" x14ac:dyDescent="0.25">
      <c r="A8" t="s">
        <v>51</v>
      </c>
      <c r="B8" s="18">
        <f>B6*B7</f>
        <v>5219369885.803138</v>
      </c>
      <c r="C8" s="18">
        <f>C6*C7</f>
        <v>5391552633.28218</v>
      </c>
      <c r="D8" s="18">
        <f>D6*D7</f>
        <v>5564031286.426712</v>
      </c>
      <c r="E8" s="18">
        <f>E6*E7</f>
        <v>5736471116.048789</v>
      </c>
      <c r="F8" s="18">
        <f>F6*F7</f>
        <v>5908526466.831163</v>
      </c>
      <c r="G8" s="18">
        <f>G6*G7</f>
        <v>6079841777.634977</v>
      </c>
      <c r="H8" s="18">
        <f>H6*H7</f>
        <v>6250052684.928699</v>
      </c>
      <c r="I8" s="18">
        <f>I6*I7</f>
        <v>6418787205.468802</v>
      </c>
      <c r="J8" s="18">
        <f>J6*J7</f>
        <v>6585666993.680995</v>
      </c>
      <c r="K8" s="18">
        <f>K6*K7</f>
        <v>6750308668.523019</v>
      </c>
    </row>
    <row r="9" spans="1:11" x14ac:dyDescent="0.25">
      <c r="A9" t="s">
        <v>52</v>
      </c>
      <c r="B9" s="18">
        <f>B8*(1-Assumptions!B8)</f>
        <v>4123302209.784479</v>
      </c>
      <c r="C9" s="18">
        <f>C8*(1-Assumptions!B8)</f>
        <v>4259326580.2929225</v>
      </c>
      <c r="D9" s="18">
        <f>D8*(1-Assumptions!B8)</f>
        <v>4395584716.277102</v>
      </c>
      <c r="E9" s="18">
        <f>E8*(1-Assumptions!B8)</f>
        <v>4531812181.678543</v>
      </c>
      <c r="F9" s="18">
        <f>F8*(1-Assumptions!B8)</f>
        <v>4667735908.796619</v>
      </c>
      <c r="G9" s="18">
        <f>G8*(1-Assumptions!B8)</f>
        <v>4803075004.331633</v>
      </c>
      <c r="H9" s="18">
        <f>H8*(1-Assumptions!B8)</f>
        <v>4937541621.093672</v>
      </c>
      <c r="I9" s="18">
        <f>I8*(1-Assumptions!B8)</f>
        <v>5070841892.320354</v>
      </c>
      <c r="J9" s="18">
        <f>J8*(1-Assumptions!B8)</f>
        <v>5202676925.007986</v>
      </c>
      <c r="K9" s="18">
        <f>K8*(1-Assumptions!B8)</f>
        <v>5332743848.133185</v>
      </c>
    </row>
    <row r="10" spans="1:11" x14ac:dyDescent="0.25">
      <c r="A10" t="s">
        <v>53</v>
      </c>
      <c r="B10" s="18">
        <f>B6*Assumptions!B9</f>
        <v>2994621917.6762395</v>
      </c>
      <c r="C10" s="18">
        <f>C6*Assumptions!B9</f>
        <v>3093412047.6589723</v>
      </c>
      <c r="D10" s="18">
        <f>D6*Assumptions!B9</f>
        <v>3192371953.996098</v>
      </c>
      <c r="E10" s="18">
        <f>E6*Assumptions!B9</f>
        <v>3291309585.274393</v>
      </c>
      <c r="F10" s="18">
        <f>F6*Assumptions!B9</f>
        <v>3390026621.1962667</v>
      </c>
      <c r="G10" s="18">
        <f>G6*Assumptions!B9</f>
        <v>3488319057.982949</v>
      </c>
      <c r="H10" s="18">
        <f>H6*Assumptions!B9</f>
        <v>3585977841.468631</v>
      </c>
      <c r="I10" s="18">
        <f>I6*Assumptions!B9</f>
        <v>3682789545.6654167</v>
      </c>
      <c r="J10" s="18">
        <f>J6*Assumptions!B9</f>
        <v>3778537094.187838</v>
      </c>
      <c r="K10" s="18">
        <f>K6*Assumptions!B9</f>
        <v>3873000521.5425334</v>
      </c>
    </row>
    <row r="11" spans="1:11" x14ac:dyDescent="0.25">
      <c r="A11" t="s">
        <v>54</v>
      </c>
      <c r="B11" s="18">
        <f>-B6*B19</f>
        <v>-4355450866.848293</v>
      </c>
      <c r="C11" s="18">
        <f>-C6*C19</f>
        <v>-4431372024.918806</v>
      </c>
      <c r="D11" s="18">
        <f>-D6*D19</f>
        <v>-4503204649.729048</v>
      </c>
      <c r="E11" s="18">
        <f>-E6*E19</f>
        <v>-4570670880.852507</v>
      </c>
      <c r="F11" s="18">
        <f>-F6*F19</f>
        <v>-4633501117.176118</v>
      </c>
      <c r="G11" s="18">
        <f>-G6*G19</f>
        <v>-4691435490.811977</v>
      </c>
      <c r="H11" s="18">
        <f>-H6*H19</f>
        <v>-4744225327.163865</v>
      </c>
      <c r="I11" s="18">
        <f>-I6*I19</f>
        <v>-4791634580.947236</v>
      </c>
      <c r="J11" s="18">
        <f>-J6*J19</f>
        <v>-4833441237.850104</v>
      </c>
      <c r="K11" s="18">
        <f>-K6*K19</f>
        <v>-4869438671.498123</v>
      </c>
    </row>
    <row r="12" spans="1:11" x14ac:dyDescent="0.25">
      <c r="A12" t="s">
        <v>55</v>
      </c>
      <c r="B12" s="18">
        <f>-(B6-Assumptions!B29)*Assumptions!B11</f>
        <v>-41862366.44339908</v>
      </c>
      <c r="C12" s="18">
        <f>-(C6-B6)*Assumptions!B11</f>
        <v>-28110815.547165066</v>
      </c>
      <c r="D12" s="18">
        <f>-(D6-C6)*Assumptions!B11</f>
        <v>-28159125.553270396</v>
      </c>
      <c r="E12" s="18">
        <f>-(E6-D6)*Assumptions!B11</f>
        <v>-28152787.1663262</v>
      </c>
      <c r="F12" s="18">
        <f>-(F6-E6)*Assumptions!B11</f>
        <v>-28090016.56995171</v>
      </c>
      <c r="G12" s="18">
        <f>-(G6-F6)*Assumptions!B11</f>
        <v>-27969196.5247414</v>
      </c>
      <c r="H12" s="18">
        <f>-(H6-G6)*Assumptions!B11</f>
        <v>-27788889.938765865</v>
      </c>
      <c r="I12" s="18">
        <f>-(I6-H6)*Assumptions!B11</f>
        <v>-27547852.80633017</v>
      </c>
      <c r="J12" s="18">
        <f>-(J6-I6)*Assumptions!B11</f>
        <v>-27245046.40369915</v>
      </c>
      <c r="K12" s="18">
        <f>-(K6-J6)*Assumptions!B11</f>
        <v>-26879648.632763207</v>
      </c>
    </row>
    <row r="13" spans="1:11" x14ac:dyDescent="0.25">
      <c r="A13" s="19" t="s">
        <v>56</v>
      </c>
      <c r="B13" s="20">
        <f>B9+B10+B11+B12</f>
        <v>2720610894.169026</v>
      </c>
      <c r="C13" s="20">
        <f>C9+C10+C11+C12</f>
        <v>2893255787.485924</v>
      </c>
      <c r="D13" s="20">
        <f>D9+D10+D11+D12</f>
        <v>3056592894.990883</v>
      </c>
      <c r="E13" s="20">
        <f>E9+E10+E11+E12</f>
        <v>3224298098.9341035</v>
      </c>
      <c r="F13" s="20">
        <f>F9+F10+F11+F12</f>
        <v>3396171396.246816</v>
      </c>
      <c r="G13" s="20">
        <f>G9+G10+G11+G12</f>
        <v>3571989374.9778624</v>
      </c>
      <c r="H13" s="20">
        <f>H9+H10+H11+H12</f>
        <v>3751505245.4596715</v>
      </c>
      <c r="I13" s="20">
        <f>I9+I10+I11+I12</f>
        <v>3934449004.232205</v>
      </c>
      <c r="J13" s="20">
        <f>J9+J10+J11+J12</f>
        <v>4120527734.9420204</v>
      </c>
      <c r="K13" s="20">
        <f>K9+K10+K11+K12</f>
        <v>4309426049.544832</v>
      </c>
    </row>
    <row r="14" spans="1:11" x14ac:dyDescent="0.25">
      <c r="A14" t="s">
        <v>57</v>
      </c>
      <c r="B14" s="21">
        <f>1/(1+Assumptions!$B$26)^(1-0.5*Assumptions!$B$32)</f>
        <v>0.9627557701482561</v>
      </c>
      <c r="C14" s="21">
        <f>1/(1+Assumptions!$B$26)^(2-0.5*Assumptions!$B$32)</f>
        <v>0.8923770457289953</v>
      </c>
      <c r="D14" s="21">
        <f>1/(1+Assumptions!$B$26)^(3-0.5*Assumptions!$B$32)</f>
        <v>0.827143099460604</v>
      </c>
      <c r="E14" s="21">
        <f>1/(1+Assumptions!$B$26)^(4-0.5*Assumptions!$B$32)</f>
        <v>0.7666778412328952</v>
      </c>
      <c r="F14" s="21">
        <f>1/(1+Assumptions!$B$26)^(5-0.5*Assumptions!$B$32)</f>
        <v>0.7106326736218253</v>
      </c>
      <c r="G14" s="21">
        <f>1/(1+Assumptions!$B$26)^(6-0.5*Assumptions!$B$32)</f>
        <v>0.6586844821376534</v>
      </c>
      <c r="H14" s="21">
        <f>1/(1+Assumptions!$B$26)^(7-0.5*Assumptions!$B$32)</f>
        <v>0.6105337723886267</v>
      </c>
      <c r="I14" s="21">
        <f>1/(1+Assumptions!$B$26)^(8-0.5*Assumptions!$B$32)</f>
        <v>0.565902943420472</v>
      </c>
      <c r="J14" s="21">
        <f>1/(1+Assumptions!$B$26)^(9-0.5*Assumptions!$B$32)</f>
        <v>0.5245346872770632</v>
      </c>
      <c r="K14" s="21">
        <f>1/(1+Assumptions!$B$26)^(10-0.5*Assumptions!$B$32)</f>
        <v>0.48619050555532617</v>
      </c>
    </row>
    <row r="15" spans="1:11" x14ac:dyDescent="0.25">
      <c r="A15" s="19" t="s">
        <v>58</v>
      </c>
      <c r="B15" s="20">
        <f>B13*B14</f>
        <v>2619283836.689436</v>
      </c>
      <c r="C15" s="20">
        <f>C13*C14</f>
        <v>2581875052.175007</v>
      </c>
      <c r="D15" s="20">
        <f>D13*D14</f>
        <v>2528239720.9520197</v>
      </c>
      <c r="E15" s="20">
        <f>E13*E14</f>
        <v>2471997905.982126</v>
      </c>
      <c r="F15" s="20">
        <f>F13*F14</f>
        <v>2413430359.3928423</v>
      </c>
      <c r="G15" s="20">
        <f>G13*G14</f>
        <v>2352813971.6584935</v>
      </c>
      <c r="H15" s="20">
        <f>H13*H14</f>
        <v>2290420649.6462145</v>
      </c>
      <c r="I15" s="20">
        <f>I13*I14</f>
        <v>2226516272.23275</v>
      </c>
      <c r="J15" s="20">
        <f>J13*J14</f>
        <v>2161359726.8642783</v>
      </c>
      <c r="K15" s="20">
        <f>K13*K14</f>
        <v>2095202029.681494</v>
      </c>
    </row>
    <row r="17" spans="1:2" x14ac:dyDescent="0.25">
      <c r="A17" s="22" t="s">
        <v>59</v>
      </c>
      <c r="B17" s="23">
        <f>SUM(B15:K15)</f>
        <v>23741139525.27466</v>
      </c>
    </row>
    <row r="19" spans="1:11" x14ac:dyDescent="0.25">
      <c r="A19" t="s">
        <v>7</v>
      </c>
      <c r="B19" s="9">
        <f>Assumptions!$B$10+($B$20-Assumptions!$B$10)*0/9</f>
        <v>0.03952548026816946</v>
      </c>
      <c r="C19" s="9">
        <f>Assumptions!$B$10+($B$20-Assumptions!$B$10)*1/9</f>
        <v>0.03893018564549453</v>
      </c>
      <c r="D19" s="9">
        <f>Assumptions!$B$10+($B$20-Assumptions!$B$10)*2/9</f>
        <v>0.0383348910228196</v>
      </c>
      <c r="E19" s="9">
        <f>Assumptions!$B$10+($B$20-Assumptions!$B$10)*3/9</f>
        <v>0.037739596400144675</v>
      </c>
      <c r="F19" s="9">
        <f>Assumptions!$B$10+($B$20-Assumptions!$B$10)*4/9</f>
        <v>0.037144301777469746</v>
      </c>
      <c r="G19" s="9">
        <f>Assumptions!$B$10+($B$20-Assumptions!$B$10)*5/9</f>
        <v>0.03654900715479481</v>
      </c>
      <c r="H19" s="9">
        <f>Assumptions!$B$10+($B$20-Assumptions!$B$10)*6/9</f>
        <v>0.03595371253211988</v>
      </c>
      <c r="I19" s="9">
        <f>Assumptions!$B$10+($B$20-Assumptions!$B$10)*7/9</f>
        <v>0.03535841790944495</v>
      </c>
      <c r="J19" s="9">
        <f>Assumptions!$B$10+($B$20-Assumptions!$B$10)*8/9</f>
        <v>0.034763123286770024</v>
      </c>
      <c r="K19" s="9">
        <f>Assumptions!$B$10+($B$20-Assumptions!$B$10)*9/9</f>
        <v>0.034167828664095096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0.034167828664095096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4309426049.544832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5332743848.133185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0.18685280567233872</v>
      </c>
    </row>
    <row r="7" spans="1:2" x14ac:dyDescent="0.25">
      <c r="A7" t="s">
        <v>66</v>
      </c>
      <c r="B7" s="18">
        <f>-MAX(B5,0)*B6</f>
        <v>-996438149.9555899</v>
      </c>
    </row>
    <row r="8" spans="1:2" x14ac:dyDescent="0.25">
      <c r="A8" t="s">
        <v>67</v>
      </c>
      <c r="B8" s="18">
        <f>IF(OR(Assumptions!$B$33=0,Assumptions!B12&lt;=0),B5,MAX(B5+B7,0))</f>
        <v>4336305698.177595</v>
      </c>
    </row>
    <row r="9" spans="1:2" x14ac:dyDescent="0.25">
      <c r="A9" t="s">
        <v>68</v>
      </c>
      <c r="B9" s="18">
        <f>B8*(1+Assumptions!B12)/(Assumptions!B26-Assumptions!B12)</f>
        <v>82513377608.48546</v>
      </c>
    </row>
    <row r="10" spans="1:2" x14ac:dyDescent="0.25">
      <c r="A10" t="s">
        <v>69</v>
      </c>
      <c r="B10" s="18">
        <f>B9/(1+Assumptions!B26)^(10-0.5*Assumptions!B32)</f>
        <v>40117220774.54707</v>
      </c>
    </row>
    <row r="11" spans="1:2" x14ac:dyDescent="0.25">
      <c r="A11" t="s">
        <v>70</v>
      </c>
      <c r="B11" s="18">
        <f>Forecast!B17+B10</f>
        <v>63858360299.82173</v>
      </c>
    </row>
    <row r="12" spans="1:2" x14ac:dyDescent="0.25">
      <c r="A12" t="s">
        <v>71</v>
      </c>
      <c r="B12" s="18">
        <f>-Assumptions!B30</f>
        <v>-14802000000</v>
      </c>
    </row>
    <row r="13" spans="1:2" x14ac:dyDescent="0.25">
      <c r="A13" t="s">
        <v>72</v>
      </c>
      <c r="B13" s="18">
        <f>B11+B12</f>
        <v>49056360299.82173</v>
      </c>
    </row>
    <row r="14" spans="1:2" x14ac:dyDescent="0.25">
      <c r="A14" s="19" t="s">
        <v>73</v>
      </c>
      <c r="B14" s="24">
        <f>B13/Assumptions!B31</f>
        <v>107.67418854218992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10623309190.065552</v>
      </c>
    </row>
    <row r="18" spans="1:2" x14ac:dyDescent="0.25">
      <c r="A18" t="s">
        <v>68</v>
      </c>
      <c r="B18" s="18">
        <f>B17*Assumptions!B13</f>
        <v>111696693740.62465</v>
      </c>
    </row>
    <row r="19" spans="1:2" x14ac:dyDescent="0.25">
      <c r="A19" t="s">
        <v>69</v>
      </c>
      <c r="B19" s="18">
        <f>B18/(1+Assumptions!B26)^(10-0.5*Assumptions!B32)</f>
        <v>54305871998.61273</v>
      </c>
    </row>
    <row r="20" spans="1:2" x14ac:dyDescent="0.25">
      <c r="A20" t="s">
        <v>70</v>
      </c>
      <c r="B20" s="18">
        <f>Forecast!B17+B19</f>
        <v>78047011523.88739</v>
      </c>
    </row>
    <row r="21" spans="1:2" x14ac:dyDescent="0.25">
      <c r="A21" t="s">
        <v>71</v>
      </c>
      <c r="B21" s="18">
        <f>-Assumptions!B30</f>
        <v>-14802000000</v>
      </c>
    </row>
    <row r="22" spans="1:2" x14ac:dyDescent="0.25">
      <c r="A22" t="s">
        <v>72</v>
      </c>
      <c r="B22" s="18">
        <f>B20+B21</f>
        <v>63245011523.88739</v>
      </c>
    </row>
    <row r="23" spans="1:2" x14ac:dyDescent="0.25">
      <c r="A23" s="19" t="s">
        <v>73</v>
      </c>
      <c r="B23" s="25">
        <f>B22/Assumptions!B31</f>
        <v>138.81696998219357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158.38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107.67418854218992</v>
      </c>
    </row>
    <row r="29" spans="1:2" x14ac:dyDescent="0.25">
      <c r="A29" s="19" t="s">
        <v>81</v>
      </c>
      <c r="B29" s="11">
        <f>B28/B26-1</f>
        <v>-0.320152869414131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0.058867</v>
      </c>
      <c r="B5" s="31">
        <v>167.01308702083176</v>
      </c>
      <c r="C5" s="31">
        <v>177.70659860665202</v>
      </c>
      <c r="D5" s="31">
        <v>191.89066100746203</v>
      </c>
      <c r="E5" s="31">
        <v>211.37904989184022</v>
      </c>
      <c r="F5" s="31">
        <v>239.50544344529465</v>
      </c>
    </row>
    <row r="6" spans="1:6" x14ac:dyDescent="0.25">
      <c r="A6" s="30">
        <v>0.068867</v>
      </c>
      <c r="B6" s="31">
        <v>128.62958154935635</v>
      </c>
      <c r="C6" s="31">
        <v>133.68930338703245</v>
      </c>
      <c r="D6" s="31">
        <v>140.14540033040183</v>
      </c>
      <c r="E6" s="31">
        <v>148.53677753256096</v>
      </c>
      <c r="F6" s="31">
        <v>159.72058808890796</v>
      </c>
    </row>
    <row r="7" spans="1:6" x14ac:dyDescent="0.25">
      <c r="A7" s="30">
        <v>0.078867</v>
      </c>
      <c r="B7" s="31">
        <v>102.36238289562533</v>
      </c>
      <c r="C7" s="31">
        <v>104.7065838765894</v>
      </c>
      <c r="D7" s="32">
        <v>107.67307539367378</v>
      </c>
      <c r="E7" s="31">
        <v>111.45287302061553</v>
      </c>
      <c r="F7" s="31">
        <v>116.32408083674208</v>
      </c>
    </row>
    <row r="8" spans="1:6" x14ac:dyDescent="0.25">
      <c r="A8" s="30">
        <v>0.088867</v>
      </c>
      <c r="B8" s="31">
        <v>83.2841246835038</v>
      </c>
      <c r="C8" s="31">
        <v>84.2036924639132</v>
      </c>
      <c r="D8" s="31">
        <v>85.41661353098236</v>
      </c>
      <c r="E8" s="31">
        <v>86.99763773267189</v>
      </c>
      <c r="F8" s="31">
        <v>89.0492684016215</v>
      </c>
    </row>
    <row r="9" spans="1:6" x14ac:dyDescent="0.25">
      <c r="A9" s="30">
        <v>0.098867</v>
      </c>
      <c r="B9" s="31">
        <v>68.81803463857308</v>
      </c>
      <c r="C9" s="31">
        <v>68.95075365828178</v>
      </c>
      <c r="D9" s="31">
        <v>69.22378692162444</v>
      </c>
      <c r="E9" s="31">
        <v>69.66769643441678</v>
      </c>
      <c r="F9" s="31">
        <v>70.32261471801942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104780000000</v>
      </c>
      <c r="C5" s="18">
        <v>106566000000</v>
      </c>
      <c r="D5" s="18">
        <v>107412000000</v>
      </c>
      <c r="E5" s="18">
        <v>109120000000</v>
      </c>
      <c r="F5" s="6" t="s">
        <v>91</v>
      </c>
    </row>
    <row r="6" spans="1:6" x14ac:dyDescent="0.25">
      <c r="A6" t="s">
        <v>51</v>
      </c>
      <c r="B6" s="18">
        <v>5117000000</v>
      </c>
      <c r="C6" s="18">
        <v>5566000000</v>
      </c>
      <c r="D6" s="18">
        <v>5707000000</v>
      </c>
      <c r="E6" s="18">
        <v>3848000000</v>
      </c>
      <c r="F6" s="6" t="s">
        <v>92</v>
      </c>
    </row>
    <row r="7" spans="1:6" x14ac:dyDescent="0.25">
      <c r="A7" t="s">
        <v>93</v>
      </c>
      <c r="B7" s="18">
        <v>3134000000</v>
      </c>
      <c r="C7" s="18">
        <v>2981000000</v>
      </c>
      <c r="D7" s="18">
        <v>2801000000</v>
      </c>
      <c r="E7" s="18">
        <v>2700000000</v>
      </c>
      <c r="F7" s="6" t="s">
        <v>94</v>
      </c>
    </row>
    <row r="8" spans="1:6" x14ac:dyDescent="0.25">
      <c r="A8" t="s">
        <v>95</v>
      </c>
      <c r="B8" s="18">
        <v>3727000000</v>
      </c>
      <c r="C8" s="18">
        <v>2891000000</v>
      </c>
      <c r="D8" s="18">
        <v>4806000000</v>
      </c>
      <c r="E8" s="18">
        <v>5528000000</v>
      </c>
      <c r="F8" s="6" t="s">
        <v>96</v>
      </c>
    </row>
    <row r="9" spans="1:6" x14ac:dyDescent="0.25">
      <c r="A9" t="s">
        <v>97</v>
      </c>
      <c r="B9" s="18">
        <v>403000000</v>
      </c>
      <c r="C9" s="18">
        <v>-145000000</v>
      </c>
      <c r="D9" s="18">
        <v>-1039000000</v>
      </c>
      <c r="E9" s="18">
        <v>2436000000</v>
      </c>
      <c r="F9" s="6" t="s">
        <v>98</v>
      </c>
    </row>
    <row r="10" spans="1:6" x14ac:dyDescent="0.25">
      <c r="A10" t="s">
        <v>99</v>
      </c>
      <c r="B10" s="18">
        <v>20290000000</v>
      </c>
      <c r="C10" s="18">
        <v>19875000000</v>
      </c>
      <c r="D10" s="18">
        <v>19646000000</v>
      </c>
      <c r="E10" s="18">
        <v>19073000000</v>
      </c>
      <c r="F10" s="6" t="s">
        <v>100</v>
      </c>
    </row>
    <row r="11" spans="1:6" x14ac:dyDescent="0.25">
      <c r="A11" t="s">
        <v>101</v>
      </c>
      <c r="B11" s="18">
        <v>5488000000</v>
      </c>
      <c r="C11" s="18">
        <v>4762000000</v>
      </c>
      <c r="D11" s="18">
        <v>3805000000</v>
      </c>
      <c r="E11" s="18">
        <v>2229000000</v>
      </c>
      <c r="F11" s="6" t="s">
        <v>102</v>
      </c>
    </row>
    <row r="12" spans="1:6" x14ac:dyDescent="0.25">
      <c r="A12" t="s">
        <v>34</v>
      </c>
      <c r="B12" s="34">
        <v>455600000</v>
      </c>
      <c r="C12" s="34">
        <v>461800000</v>
      </c>
      <c r="D12" s="34">
        <v>462800000</v>
      </c>
      <c r="E12" s="34">
        <v>464700000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