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<sst xmlns="http://schemas.openxmlformats.org/spreadsheetml/2006/main" count="114" uniqueCount="102">
  <si>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Tourism Holdings Limited (THL.NZ)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</si>
  <si>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</si>
  <si>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</si>
  <si>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</si>
  <si>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</si>
  <si>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</si>
  <si>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</si>
  <si>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</si>
  <si>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</si>
  <si>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</si>
  <si>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</si>
  <si>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</si>
  <si>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</si>
  <si>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</si>
  <si>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</si>
  <si>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</si>
  <si>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</si>
  <si>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</si>
  <si>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</si>
  <si>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</si>
  <si>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</si>
  <si>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</si>
  <si>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</si>
  <si>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</si>
  <si>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</si>
  <si>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</si>
  <si>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</si>
  <si>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</si>
  <si>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</si>
  <si>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</si>
  <si>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</si>
  <si>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</si>
  <si>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</si>
  <si>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</si>
  <si>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</si>
  <si>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</si>
  <si>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</si>
  <si>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</si>
  <si>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</si>
  <si>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</si>
  <si>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</si>
  <si>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</si>
  <si>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</si>
  <si>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</si>
  <si>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</si>
  <si>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</si>
  <si>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</si>
  <si>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</si>
  <si>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</si>
  <si>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</si>
  <si>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</si>
  <si>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</si>
  <si>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</si>
  <si>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</si>
  <si>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</si>
  <si>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</si>
  <si>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</si>
  <si>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</si>
  <si>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</si>
  <si>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</si>
  <si>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</si>
  <si>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</si>
  <si>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</si>
  <si>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</si>
  <si>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</si>
  <si>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</si>
  <si>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</si>
  <si>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</si>
  <si>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</si>
  <si>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</si>
  <si>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</si>
  <si>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</si>
  <si>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</si>
  <si>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</si>
  <si>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</si>
  <si>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</si>
  <si>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</si>
  <si>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</si>
  <si>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</si>
  <si>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</si>
  <si>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</si>
  <si>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</si>
  <si>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</si>
  <si>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</si>
  <si>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</si>
  <si>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</si>
  <si>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</si>
  <si>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</si>
  <si>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</si>
  <si>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</si>
  <si>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</si>
  <si>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</si>
  <si>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</si>
  <si>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</si>
  <si>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</si>
  <si>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</si>
  <si>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</si>
  <si>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</si>
  <si>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</si>
  <si>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2.40% of revenue against depreciation and amortisation of 10.61%. A business cannot depreciate more than it invests indefinitely. Capex has been set to 10.61%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</si>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</sst>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0.08710900175127323</v>
      </c>
    </row>
    <row r="7" spans="1:2" x14ac:dyDescent="0.25">
      <c r="A7" t="s">
        <v>5</v>
      </c>
      <c r="B7" s="6">
        <v>0.03542092127551636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0.10609146053584545</v>
      </c>
    </row>
    <row r="10" spans="1:2" x14ac:dyDescent="0.25">
      <c r="A10" t="s">
        <v>8</v>
      </c>
      <c r="B10" s="6">
        <v>0.10609146053584545</v>
      </c>
    </row>
    <row r="11" spans="1:2" x14ac:dyDescent="0.25">
      <c r="A11" t="s">
        <v>9</v>
      </c>
      <c r="B11" s="6">
        <v>0.05926170072511536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6.064148297738574</v>
      </c>
    </row>
    <row r="14" spans="1:3" x14ac:dyDescent="0.25">
      <c r="A14" t="s">
        <v>12</v>
      </c>
      <c r="B14" s="6">
        <v>0.06168733821257921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0.75478</v>
      </c>
      <c r="C19" s="8" t="s">
        <v>19</v>
      </c>
    </row>
    <row r="20" spans="1:2" x14ac:dyDescent="0.25">
      <c r="A20" t="s">
        <v>20</v>
      </c>
      <c r="B20" s="10">
        <f>B17+B19*B18</f>
        <v>0.0940607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626832320</v>
      </c>
    </row>
    <row r="23" spans="1:2" x14ac:dyDescent="0.25">
      <c r="A23" t="s">
        <v>24</v>
      </c>
      <c r="B23" s="11">
        <v>692882000</v>
      </c>
    </row>
    <row r="24" spans="1:2" x14ac:dyDescent="0.25">
      <c r="A24" t="s">
        <v>25</v>
      </c>
      <c r="B24" s="10">
        <f>B22/(B22+B23)</f>
        <v>0.474975765967289</v>
      </c>
    </row>
    <row r="25" spans="1:2" x14ac:dyDescent="0.25">
      <c r="A25" t="s">
        <v>26</v>
      </c>
      <c r="B25" s="10">
        <f>1-B24</f>
        <v>0.5250242340327109</v>
      </c>
    </row>
    <row r="26" spans="1:2" x14ac:dyDescent="0.25">
      <c r="A26" t="s">
        <v>27</v>
      </c>
      <c r="B26" s="12">
        <f>B24*B20+B25*B21*(1-B8)</f>
        <v>0.06168733821257921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852871000</v>
      </c>
      <c r="C29" s="8" t="s">
        <v>30</v>
      </c>
    </row>
    <row r="30" spans="1:2" x14ac:dyDescent="0.25">
      <c r="A30" t="s">
        <v>31</v>
      </c>
      <c r="B30" s="11">
        <v>646372000</v>
      </c>
    </row>
    <row r="31" spans="1:2" x14ac:dyDescent="0.25">
      <c r="A31" t="s">
        <v>32</v>
      </c>
      <c r="B31" s="13">
        <v>221495535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0.08710900175127323</v>
      </c>
      <c r="C5" s="10">
        <f>Assumptions!B6</f>
        <v>0.08710900175127323</v>
      </c>
      <c r="D5" s="10">
        <f>Assumptions!B6</f>
        <v>0.08710900175127323</v>
      </c>
      <c r="E5" s="10">
        <f>Assumptions!B6</f>
        <v>0.08710900175127323</v>
      </c>
      <c r="F5" s="10">
        <f>Assumptions!B6</f>
        <v>0.08710900175127323</v>
      </c>
    </row>
    <row r="6" spans="1:6" x14ac:dyDescent="0.25">
      <c r="A6" t="s">
        <v>43</v>
      </c>
      <c r="B6" s="18">
        <f>Assumptions!B29*(1+B5)</f>
        <v>927163741.4326102</v>
      </c>
      <c r="C6" s="18">
        <f>B6*(1+C5)</f>
        <v>1007928049.4087805</v>
      </c>
      <c r="D6" s="18">
        <f>C6*(1+D5)</f>
        <v>1095727655.6298873</v>
      </c>
      <c r="E6" s="18">
        <f>D6*(1+E5)</f>
        <v>1191175397.9030697</v>
      </c>
      <c r="F6" s="18">
        <f>E6*(1+F5)</f>
        <v>1294937497.725082</v>
      </c>
    </row>
    <row r="7" spans="1:6" x14ac:dyDescent="0.25">
      <c r="A7" t="s">
        <v>5</v>
      </c>
      <c r="B7" s="10">
        <f>Assumptions!B7</f>
        <v>0.03542092127551636</v>
      </c>
      <c r="C7" s="10">
        <f>Assumptions!B7</f>
        <v>0.03542092127551636</v>
      </c>
      <c r="D7" s="10">
        <f>Assumptions!B7</f>
        <v>0.03542092127551636</v>
      </c>
      <c r="E7" s="10">
        <f>Assumptions!B7</f>
        <v>0.03542092127551636</v>
      </c>
      <c r="F7" s="10">
        <f>Assumptions!B7</f>
        <v>0.03542092127551636</v>
      </c>
    </row>
    <row r="8" spans="1:6" x14ac:dyDescent="0.25">
      <c r="A8" t="s">
        <v>44</v>
      </c>
      <c r="B8" s="18">
        <f>B6*B7</f>
        <v>32840993.89479769</v>
      </c>
      <c r="C8" s="18">
        <f>C6*C7</f>
        <v>35701740.08949318</v>
      </c>
      <c r="D8" s="18">
        <f>D6*D7</f>
        <v>38811683.02947234</v>
      </c>
      <c r="E8" s="18">
        <f>E6*E7</f>
        <v>42192529.99445651</v>
      </c>
      <c r="F8" s="18">
        <f>F6*F7</f>
        <v>45867879.16363427</v>
      </c>
    </row>
    <row r="9" spans="1:6" x14ac:dyDescent="0.25">
      <c r="A9" t="s">
        <v>45</v>
      </c>
      <c r="B9" s="18">
        <f>B8*(1-Assumptions!B8)</f>
        <v>23645515.604254335</v>
      </c>
      <c r="C9" s="18">
        <f>C8*(1-Assumptions!B8)</f>
        <v>25705252.864435088</v>
      </c>
      <c r="D9" s="18">
        <f>D8*(1-Assumptions!B8)</f>
        <v>27944411.781220086</v>
      </c>
      <c r="E9" s="18">
        <f>E8*(1-Assumptions!B8)</f>
        <v>30378621.596008684</v>
      </c>
      <c r="F9" s="18">
        <f>F8*(1-Assumptions!B8)</f>
        <v>33024872.997816674</v>
      </c>
    </row>
    <row r="10" spans="1:6" x14ac:dyDescent="0.25">
      <c r="A10" t="s">
        <v>46</v>
      </c>
      <c r="B10" s="18">
        <f>B6*Assumptions!B9</f>
        <v>98364155.48446457</v>
      </c>
      <c r="C10" s="18">
        <f>C6*Assumptions!B9</f>
        <v>106932558.87682332</v>
      </c>
      <c r="D10" s="18">
        <f>D6*Assumptions!B9</f>
        <v>116247347.33529265</v>
      </c>
      <c r="E10" s="18">
        <f>E6*Assumptions!B9</f>
        <v>126373537.71790352</v>
      </c>
      <c r="F10" s="18">
        <f>F6*Assumptions!B9</f>
        <v>137381810.436287</v>
      </c>
    </row>
    <row r="11" spans="1:6" x14ac:dyDescent="0.25">
      <c r="A11" t="s">
        <v>47</v>
      </c>
      <c r="B11" s="18">
        <f>-B6*Assumptions!B10</f>
        <v>-98364155.48446457</v>
      </c>
      <c r="C11" s="18">
        <f>-C6*Assumptions!B10</f>
        <v>-106932558.87682332</v>
      </c>
      <c r="D11" s="18">
        <f>-D6*Assumptions!B10</f>
        <v>-116247347.33529265</v>
      </c>
      <c r="E11" s="18">
        <f>-E6*Assumptions!B10</f>
        <v>-126373537.71790352</v>
      </c>
      <c r="F11" s="18">
        <f>-F6*Assumptions!B10</f>
        <v>-137381810.436287</v>
      </c>
    </row>
    <row r="12" spans="1:6" x14ac:dyDescent="0.25">
      <c r="A12" t="s">
        <v>48</v>
      </c>
      <c r="B12" s="18">
        <f>-(B6-Assumptions!B29)*Assumptions!B11</f>
        <v>-4402714.208827721</v>
      </c>
      <c r="C12" s="18">
        <f>-(C6-B6)*Assumptions!B11</f>
        <v>-4786230.248554852</v>
      </c>
      <c r="D12" s="18">
        <f>-(D6-C6)*Assumptions!B11</f>
        <v>-5203153.987658213</v>
      </c>
      <c r="E12" s="18">
        <f>-(E6-D6)*Assumptions!B11</f>
        <v>-5656395.537481276</v>
      </c>
      <c r="F12" s="18">
        <f>-(F6-E6)*Assumptions!B11</f>
        <v>-6149118.506261632</v>
      </c>
    </row>
    <row r="13" spans="1:6" x14ac:dyDescent="0.25">
      <c r="A13" s="19" t="s">
        <v>49</v>
      </c>
      <c r="B13" s="20">
        <f>B9+B10+B11+B12</f>
        <v>19242801.395426616</v>
      </c>
      <c r="C13" s="20">
        <f>C9+C10+C11+C12</f>
        <v>20919022.61588024</v>
      </c>
      <c r="D13" s="20">
        <f>D9+D10+D11+D12</f>
        <v>22741257.79356188</v>
      </c>
      <c r="E13" s="20">
        <f>E9+E10+E11+E12</f>
        <v>24722226.05852741</v>
      </c>
      <c r="F13" s="20">
        <f>F9+F10+F11+F12</f>
        <v>26875754.49155505</v>
      </c>
    </row>
    <row r="14" spans="1:6" x14ac:dyDescent="0.25">
      <c r="A14" t="s">
        <v>50</v>
      </c>
      <c r="B14" s="21">
        <f>1/(1+Assumptions!$B$26)^(1-0.5*Assumptions!$B$32)</f>
        <v>0.9705137238093338</v>
      </c>
      <c r="C14" s="21">
        <f>1/(1+Assumptions!$B$26)^(2-0.5*Assumptions!$B$32)</f>
        <v>0.9141238563165477</v>
      </c>
      <c r="D14" s="21">
        <f>1/(1+Assumptions!$B$26)^(3-0.5*Assumptions!$B$32)</f>
        <v>0.8610104156045937</v>
      </c>
      <c r="E14" s="21">
        <f>1/(1+Assumptions!$B$26)^(4-0.5*Assumptions!$B$32)</f>
        <v>0.8109830310816003</v>
      </c>
      <c r="F14" s="21">
        <f>1/(1+Assumptions!$B$26)^(5-0.5*Assumptions!$B$32)</f>
        <v>0.7638623932794976</v>
      </c>
    </row>
    <row r="15" spans="1:6" x14ac:dyDescent="0.25">
      <c r="A15" s="19" t="s">
        <v>51</v>
      </c>
      <c r="B15" s="20">
        <f>B13*B14</f>
        <v>18675402.83879893</v>
      </c>
      <c r="C15" s="20">
        <f>C13*C14</f>
        <v>19122577.62400152</v>
      </c>
      <c r="D15" s="20">
        <f>D13*D14</f>
        <v>19580459.82420592</v>
      </c>
      <c r="E15" s="20">
        <f>E13*E14</f>
        <v>20049305.824029084</v>
      </c>
      <c r="F15" s="20">
        <f>F13*F14</f>
        <v>20529378.147111446</v>
      </c>
    </row>
    <row r="17" spans="1:2" x14ac:dyDescent="0.25">
      <c r="A17" s="22" t="s">
        <v>52</v>
      </c>
      <c r="B17" s="23">
        <f>SUM(B15:F15)</f>
        <v>97957124.2581469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26875754.49155505</v>
      </c>
    </row>
    <row r="5" spans="1:2" x14ac:dyDescent="0.25">
      <c r="A5" t="s">
        <v>56</v>
      </c>
      <c r="B5" s="18">
        <f>IF(Assumptions!$B$33=0,B4,B4-Forecast!F11-Forecast!F10-Forecast!F12)</f>
        <v>33024872.997816674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0.40526955327279834</v>
      </c>
    </row>
    <row r="7" spans="1:2" x14ac:dyDescent="0.25">
      <c r="A7" t="s">
        <v>58</v>
      </c>
      <c r="B7" s="18">
        <f>-MAX(Forecast!F9,0)*B6</f>
        <v>-13383975.526716065</v>
      </c>
    </row>
    <row r="8" spans="1:2" x14ac:dyDescent="0.25">
      <c r="A8" t="s">
        <v>59</v>
      </c>
      <c r="B8" s="18">
        <f>IF(OR(Assumptions!$B$33=0,Assumptions!B12&lt;=0),B5,MAX(B5+B7,0))</f>
        <v>19640897.47110061</v>
      </c>
    </row>
    <row r="9" spans="1:2" x14ac:dyDescent="0.25">
      <c r="A9" t="s">
        <v>60</v>
      </c>
      <c r="B9" s="18">
        <f>B8*(1+Assumptions!B12)/(Assumptions!B26-Assumptions!B12)</f>
        <v>548742996.5953586</v>
      </c>
    </row>
    <row r="10" spans="1:2" x14ac:dyDescent="0.25">
      <c r="A10" t="s">
        <v>61</v>
      </c>
      <c r="B10" s="18">
        <f>B9/(1+Assumptions!B26)^(5-0.5*Assumptions!B32)</f>
        <v>419164138.6746938</v>
      </c>
    </row>
    <row r="11" spans="1:2" x14ac:dyDescent="0.25">
      <c r="A11" t="s">
        <v>62</v>
      </c>
      <c r="B11" s="18">
        <f>Forecast!B17+B10</f>
        <v>517121262.9328407</v>
      </c>
    </row>
    <row r="12" spans="1:2" x14ac:dyDescent="0.25">
      <c r="A12" t="s">
        <v>63</v>
      </c>
      <c r="B12" s="18">
        <f>-Assumptions!B30</f>
        <v>-646372000</v>
      </c>
    </row>
    <row r="13" spans="1:2" x14ac:dyDescent="0.25">
      <c r="A13" t="s">
        <v>64</v>
      </c>
      <c r="B13" s="18">
        <f>B11+B12</f>
        <v>-129250737.0671593</v>
      </c>
    </row>
    <row r="14" spans="1:2" x14ac:dyDescent="0.25">
      <c r="A14" s="19" t="s">
        <v>65</v>
      </c>
      <c r="B14" s="24">
        <f>B13/Assumptions!B31</f>
        <v>-0.5835365352496126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183249689.59992126</v>
      </c>
    </row>
    <row r="18" spans="1:2" x14ac:dyDescent="0.25">
      <c r="A18" t="s">
        <v>60</v>
      </c>
      <c r="B18" s="18">
        <f>B17*Assumptions!B13</f>
        <v>1111253293.2484846</v>
      </c>
    </row>
    <row r="19" spans="1:2" x14ac:dyDescent="0.25">
      <c r="A19" t="s">
        <v>61</v>
      </c>
      <c r="B19" s="18">
        <f>B18/(1+Assumptions!B26)^(5-0.5*Assumptions!B32)</f>
        <v>848844600.1205108</v>
      </c>
    </row>
    <row r="20" spans="1:2" x14ac:dyDescent="0.25">
      <c r="A20" t="s">
        <v>62</v>
      </c>
      <c r="B20" s="18">
        <f>Forecast!B17+B19</f>
        <v>946801724.3786577</v>
      </c>
    </row>
    <row r="21" spans="1:2" x14ac:dyDescent="0.25">
      <c r="A21" t="s">
        <v>63</v>
      </c>
      <c r="B21" s="18">
        <f>-Assumptions!B30</f>
        <v>-646372000</v>
      </c>
    </row>
    <row r="22" spans="1:2" x14ac:dyDescent="0.25">
      <c r="A22" t="s">
        <v>64</v>
      </c>
      <c r="B22" s="18">
        <f>B20+B21</f>
        <v>300429724.3786577</v>
      </c>
    </row>
    <row r="23" spans="1:2" x14ac:dyDescent="0.25">
      <c r="A23" s="19" t="s">
        <v>65</v>
      </c>
      <c r="B23" s="25">
        <f>B22/Assumptions!B31</f>
        <v>1.3563692124929638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-0.5835365352496126</v>
      </c>
    </row>
    <row r="29" spans="1:2" x14ac:dyDescent="0.25">
      <c r="A29" s="19" t="s">
        <v>73</v>
      </c>
      <c r="B29" s="12">
        <f>B28/B26-1</f>
        <v>-1.2061966555652341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0.041687</v>
      </c>
      <c r="B5" s="31">
        <v>0.5669703888690086</v>
      </c>
      <c r="C5" s="31">
        <v>0.5818512458540374</v>
      </c>
      <c r="D5" s="31">
        <v>0.596732102839065</v>
      </c>
      <c r="E5" s="31">
        <v>0.6116129598240937</v>
      </c>
      <c r="F5" s="31">
        <v>0.6264938168091213</v>
      </c>
    </row>
    <row r="6" spans="1:6" x14ac:dyDescent="0.25">
      <c r="A6" s="30">
        <v>0.051687</v>
      </c>
      <c r="B6" s="31">
        <v>-0.13128889964664198</v>
      </c>
      <c r="C6" s="31">
        <v>-0.11979213651637387</v>
      </c>
      <c r="D6" s="31">
        <v>-0.10829537338610681</v>
      </c>
      <c r="E6" s="31">
        <v>-0.09679861025584031</v>
      </c>
      <c r="F6" s="31">
        <v>-0.08530184712557273</v>
      </c>
    </row>
    <row r="7" spans="1:6" x14ac:dyDescent="0.25">
      <c r="A7" s="30">
        <v>0.061687</v>
      </c>
      <c r="B7" s="31">
        <v>-0.601985918340204</v>
      </c>
      <c r="C7" s="31">
        <v>-0.592754503101174</v>
      </c>
      <c r="D7" s="32">
        <v>-0.583523087862144</v>
      </c>
      <c r="E7" s="31">
        <v>-0.5742916726231138</v>
      </c>
      <c r="F7" s="31">
        <v>-0.5650602573840837</v>
      </c>
    </row>
    <row r="8" spans="1:6" x14ac:dyDescent="0.25">
      <c r="A8" s="30">
        <v>0.071687</v>
      </c>
      <c r="B8" s="31">
        <v>-0.9404096095663117</v>
      </c>
      <c r="C8" s="31">
        <v>-0.9327940828368038</v>
      </c>
      <c r="D8" s="31">
        <v>-0.9251785561072969</v>
      </c>
      <c r="E8" s="31">
        <v>-0.917563029377789</v>
      </c>
      <c r="F8" s="31">
        <v>-0.9099475026482816</v>
      </c>
    </row>
    <row r="9" spans="1:6" x14ac:dyDescent="0.25">
      <c r="A9" s="30">
        <v>0.081687</v>
      </c>
      <c r="B9" s="31">
        <v>-1.1951851026945612</v>
      </c>
      <c r="C9" s="31">
        <v>-1.1887754279558604</v>
      </c>
      <c r="D9" s="31">
        <v>-1.1823657532171594</v>
      </c>
      <c r="E9" s="31">
        <v>-1.1759560784784582</v>
      </c>
      <c r="F9" s="31">
        <v>-1.1695464037397578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852871000</v>
      </c>
      <c r="C5" s="18">
        <v>937232000</v>
      </c>
      <c r="D5" s="18">
        <v>921731000</v>
      </c>
      <c r="E5" s="18">
        <v>663841000</v>
      </c>
      <c r="F5" s="8" t="s">
        <v>84</v>
      </c>
    </row>
    <row r="6" spans="1:6" x14ac:dyDescent="0.25">
      <c r="A6" t="s">
        <v>44</v>
      </c>
      <c r="B6" s="18">
        <v>92955000</v>
      </c>
      <c r="C6" s="18">
        <v>-36646000</v>
      </c>
      <c r="D6" s="18">
        <v>12948000</v>
      </c>
      <c r="E6" s="18">
        <v>38334000</v>
      </c>
      <c r="F6" s="8" t="s">
        <v>85</v>
      </c>
    </row>
    <row r="7" spans="1:6" x14ac:dyDescent="0.25">
      <c r="A7" t="s">
        <v>86</v>
      </c>
      <c r="B7" s="18">
        <v>117001000</v>
      </c>
      <c r="C7" s="18">
        <v>112427000</v>
      </c>
      <c r="D7" s="18">
        <v>95774000</v>
      </c>
      <c r="E7" s="18">
        <v>42033000</v>
      </c>
      <c r="F7" s="8" t="s">
        <v>87</v>
      </c>
    </row>
    <row r="8" spans="1:6" x14ac:dyDescent="0.25">
      <c r="A8" t="s">
        <v>88</v>
      </c>
      <c r="B8" s="18">
        <v>13026000</v>
      </c>
      <c r="C8" s="18">
        <v>42365000</v>
      </c>
      <c r="D8" s="18">
        <v>16088000</v>
      </c>
      <c r="E8" s="18">
        <v>12121000</v>
      </c>
      <c r="F8" s="8" t="s">
        <v>89</v>
      </c>
    </row>
    <row r="9" spans="1:6" x14ac:dyDescent="0.25">
      <c r="A9" t="s">
        <v>90</v>
      </c>
      <c r="B9" s="18">
        <v>-20678000</v>
      </c>
      <c r="C9" s="18">
        <v>-59443000</v>
      </c>
      <c r="D9" s="18">
        <v>15283000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692882000</v>
      </c>
      <c r="C10" s="18">
        <v>759595000</v>
      </c>
      <c r="D10" s="18">
        <v>650160000</v>
      </c>
      <c r="E10" s="18">
        <v>521869000</v>
      </c>
      <c r="F10" s="8" t="s">
        <v>93</v>
      </c>
    </row>
    <row r="11" spans="1:6" x14ac:dyDescent="0.25">
      <c r="A11" t="s">
        <v>94</v>
      </c>
      <c r="B11" s="18">
        <v>46510000</v>
      </c>
      <c r="C11" s="18">
        <v>49882000</v>
      </c>
      <c r="D11" s="18">
        <v>56867000</v>
      </c>
      <c r="E11" s="18">
        <v>76794000</v>
      </c>
      <c r="F11" s="8" t="s">
        <v>95</v>
      </c>
    </row>
    <row r="12" spans="1:6" x14ac:dyDescent="0.25">
      <c r="A12" t="s">
        <v>32</v>
      </c>
      <c r="B12" s="34">
        <v>221495535</v>
      </c>
      <c r="C12" s="34">
        <v>219826870</v>
      </c>
      <c r="D12" s="34">
        <v>217546961</v>
      </c>
      <c r="E12" s="34">
        <v>191026820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