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<sst xmlns="http://schemas.openxmlformats.org/spreadsheetml/2006/main" count="112" uniqueCount="100">
  <si>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Telecom Italia S.p.A. (TIT.MI)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</si>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</sst>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-0.04539587114595289</v>
      </c>
    </row>
    <row r="7" spans="1:2" x14ac:dyDescent="0.25">
      <c r="A7" t="s">
        <v>5</v>
      </c>
      <c r="B7" s="6">
        <v>0.10516660375307352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0.242718091755598</v>
      </c>
    </row>
    <row r="10" spans="1:2" x14ac:dyDescent="0.25">
      <c r="A10" t="s">
        <v>8</v>
      </c>
      <c r="B10" s="6">
        <v>0.24519185463530446</v>
      </c>
    </row>
    <row r="11" spans="1:2" x14ac:dyDescent="0.25">
      <c r="A11" t="s">
        <v>9</v>
      </c>
      <c r="B11" s="6">
        <v>0.20785375761679079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6.877768459770115</v>
      </c>
    </row>
    <row r="14" spans="1:3" x14ac:dyDescent="0.25">
      <c r="A14" t="s">
        <v>12</v>
      </c>
      <c r="B14" s="6">
        <v>0.07634532620320833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0.83585</v>
      </c>
      <c r="C19" s="8" t="s">
        <v>19</v>
      </c>
    </row>
    <row r="20" spans="1:2" x14ac:dyDescent="0.25">
      <c r="A20" t="s">
        <v>20</v>
      </c>
      <c r="B20" s="10">
        <f>B17+B19*B18</f>
        <v>0.09633025</v>
      </c>
    </row>
    <row r="21" spans="1:3" x14ac:dyDescent="0.25">
      <c r="A21" t="s">
        <v>21</v>
      </c>
      <c r="B21" s="6">
        <v>0.06850148527253856</v>
      </c>
      <c r="C21" s="8" t="s">
        <v>22</v>
      </c>
    </row>
    <row r="22" spans="1:2" x14ac:dyDescent="0.25">
      <c r="A22" t="s">
        <v>23</v>
      </c>
      <c r="B22" s="11">
        <v>16522097664</v>
      </c>
    </row>
    <row r="23" spans="1:2" x14ac:dyDescent="0.25">
      <c r="A23" t="s">
        <v>24</v>
      </c>
      <c r="B23" s="11">
        <v>13224000000</v>
      </c>
    </row>
    <row r="24" spans="1:2" x14ac:dyDescent="0.25">
      <c r="A24" t="s">
        <v>25</v>
      </c>
      <c r="B24" s="10">
        <f>B22/(B22+B23)</f>
        <v>0.555437484628303</v>
      </c>
    </row>
    <row r="25" spans="1:2" x14ac:dyDescent="0.25">
      <c r="A25" t="s">
        <v>26</v>
      </c>
      <c r="B25" s="10">
        <f>1-B24</f>
        <v>0.444562515371697</v>
      </c>
    </row>
    <row r="26" spans="1:2" x14ac:dyDescent="0.25">
      <c r="A26" t="s">
        <v>27</v>
      </c>
      <c r="B26" s="12">
        <f>B24*B20+B25*B21*(1-B8)</f>
        <v>0.07634532620320833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13734000000</v>
      </c>
      <c r="C29" s="8" t="s">
        <v>30</v>
      </c>
    </row>
    <row r="30" spans="1:2" x14ac:dyDescent="0.25">
      <c r="A30" t="s">
        <v>31</v>
      </c>
      <c r="B30" s="11">
        <v>9806000000</v>
      </c>
    </row>
    <row r="31" spans="1:2" x14ac:dyDescent="0.25">
      <c r="A31" t="s">
        <v>32</v>
      </c>
      <c r="B31" s="13">
        <v>7551834307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-0.04539587114595289</v>
      </c>
      <c r="C5" s="10">
        <f>Assumptions!B6</f>
        <v>-0.04539587114595289</v>
      </c>
      <c r="D5" s="10">
        <f>Assumptions!B6</f>
        <v>-0.04539587114595289</v>
      </c>
      <c r="E5" s="10">
        <f>Assumptions!B6</f>
        <v>-0.04539587114595289</v>
      </c>
      <c r="F5" s="10">
        <f>Assumptions!B6</f>
        <v>-0.04539587114595289</v>
      </c>
    </row>
    <row r="6" spans="1:6" x14ac:dyDescent="0.25">
      <c r="A6" t="s">
        <v>43</v>
      </c>
      <c r="B6" s="18">
        <f>Assumptions!B29*(1+B5)</f>
        <v>13110533105.681482</v>
      </c>
      <c r="C6" s="18">
        <f>B6*(1+C5)</f>
        <v>12515369034.161217</v>
      </c>
      <c r="D6" s="18">
        <f>C6*(1+D5)</f>
        <v>11947222954.142385</v>
      </c>
      <c r="E6" s="18">
        <f>D6*(1+E5)</f>
        <v>11404868360.364166</v>
      </c>
      <c r="F6" s="18">
        <f>E6*(1+F5)</f>
        <v>10887134425.840519</v>
      </c>
    </row>
    <row r="7" spans="1:6" x14ac:dyDescent="0.25">
      <c r="A7" t="s">
        <v>5</v>
      </c>
      <c r="B7" s="10">
        <f>Assumptions!B7</f>
        <v>0.10516660375307352</v>
      </c>
      <c r="C7" s="10">
        <f>Assumptions!B7</f>
        <v>0.10516660375307352</v>
      </c>
      <c r="D7" s="10">
        <f>Assumptions!B7</f>
        <v>0.10516660375307352</v>
      </c>
      <c r="E7" s="10">
        <f>Assumptions!B7</f>
        <v>0.10516660375307352</v>
      </c>
      <c r="F7" s="10">
        <f>Assumptions!B7</f>
        <v>0.10516660375307352</v>
      </c>
    </row>
    <row r="8" spans="1:6" x14ac:dyDescent="0.25">
      <c r="A8" t="s">
        <v>44</v>
      </c>
      <c r="B8" s="18">
        <f>B6*B7</f>
        <v>1378790240.1167567</v>
      </c>
      <c r="C8" s="18">
        <f>C6*C7</f>
        <v>1316198856.039119</v>
      </c>
      <c r="D8" s="18">
        <f>D6*D7</f>
        <v>1256448862.3679166</v>
      </c>
      <c r="E8" s="18">
        <f>E6*E7</f>
        <v>1199411271.7103837</v>
      </c>
      <c r="F8" s="18">
        <f>F6*F7</f>
        <v>1144962952.1688154</v>
      </c>
    </row>
    <row r="9" spans="1:6" x14ac:dyDescent="0.25">
      <c r="A9" t="s">
        <v>45</v>
      </c>
      <c r="B9" s="18">
        <f>B8*(1-Assumptions!B8)</f>
        <v>1034092680.0875676</v>
      </c>
      <c r="C9" s="18">
        <f>C8*(1-Assumptions!B8)</f>
        <v>987149142.0293393</v>
      </c>
      <c r="D9" s="18">
        <f>D8*(1-Assumptions!B8)</f>
        <v>942336646.7759374</v>
      </c>
      <c r="E9" s="18">
        <f>E8*(1-Assumptions!B8)</f>
        <v>899558453.7827878</v>
      </c>
      <c r="F9" s="18">
        <f>F8*(1-Assumptions!B8)</f>
        <v>858722214.1266115</v>
      </c>
    </row>
    <row r="10" spans="1:6" x14ac:dyDescent="0.25">
      <c r="A10" t="s">
        <v>46</v>
      </c>
      <c r="B10" s="18">
        <f>B6*Assumptions!B9</f>
        <v>3182163577.309603</v>
      </c>
      <c r="C10" s="18">
        <f>C6*Assumptions!B9</f>
        <v>3037706489.588712</v>
      </c>
      <c r="D10" s="18">
        <f>D6*Assumptions!B9</f>
        <v>2899807157.208118</v>
      </c>
      <c r="E10" s="18">
        <f>E6*Assumptions!B9</f>
        <v>2768167885.1513863</v>
      </c>
      <c r="F10" s="18">
        <f>F6*Assumptions!B9</f>
        <v>2642504492.5266886</v>
      </c>
    </row>
    <row r="11" spans="1:6" x14ac:dyDescent="0.25">
      <c r="A11" t="s">
        <v>47</v>
      </c>
      <c r="B11" s="18">
        <f>-B6*Assumptions!B10</f>
        <v>-3214595927.439601</v>
      </c>
      <c r="C11" s="18">
        <f>-C6*Assumptions!B10</f>
        <v>-3068666544.9312477</v>
      </c>
      <c r="D11" s="18">
        <f>-D6*Assumptions!B10</f>
        <v>-2929361753.8676524</v>
      </c>
      <c r="E11" s="18">
        <f>-E6*Assumptions!B10</f>
        <v>-2796380825.149194</v>
      </c>
      <c r="F11" s="18">
        <f>-F6*Assumptions!B10</f>
        <v>-2669436681.5357075</v>
      </c>
    </row>
    <row r="12" spans="1:6" x14ac:dyDescent="0.25">
      <c r="A12" t="s">
        <v>48</v>
      </c>
      <c r="B12" s="18">
        <f>-(B6-Assumptions!B29)*Assumptions!B11</f>
        <v>129589936.7337745</v>
      </c>
      <c r="C12" s="18">
        <f>-(C6-B6)*Assumptions!B11</f>
        <v>123707088.66399562</v>
      </c>
      <c r="D12" s="18">
        <f>-(D6-C6)*Assumptions!B11</f>
        <v>118091297.60716398</v>
      </c>
      <c r="E12" s="18">
        <f>-(E6-D6)*Assumptions!B11</f>
        <v>112730440.27753101</v>
      </c>
      <c r="F12" s="18">
        <f>-(F6-E6)*Assumptions!B11</f>
        <v>107612943.73646562</v>
      </c>
    </row>
    <row r="13" spans="1:6" x14ac:dyDescent="0.25">
      <c r="A13" s="19" t="s">
        <v>49</v>
      </c>
      <c r="B13" s="20">
        <f>B9+B10+B11+B12</f>
        <v>1131250266.6913445</v>
      </c>
      <c r="C13" s="20">
        <f>C9+C10+C11+C12</f>
        <v>1079896175.3507996</v>
      </c>
      <c r="D13" s="20">
        <f>D9+D10+D11+D12</f>
        <v>1030873347.7235671</v>
      </c>
      <c r="E13" s="20">
        <f>E9+E10+E11+E12</f>
        <v>984075954.0625113</v>
      </c>
      <c r="F13" s="20">
        <f>F9+F10+F11+F12</f>
        <v>939402968.8540584</v>
      </c>
    </row>
    <row r="14" spans="1:6" x14ac:dyDescent="0.25">
      <c r="A14" t="s">
        <v>50</v>
      </c>
      <c r="B14" s="21">
        <f>1/(1+Assumptions!$B$26)^(1-0.5*Assumptions!$B$32)</f>
        <v>0.9638826995963048</v>
      </c>
      <c r="C14" s="21">
        <f>1/(1+Assumptions!$B$26)^(2-0.5*Assumptions!$B$32)</f>
        <v>0.8955143634026694</v>
      </c>
      <c r="D14" s="21">
        <f>1/(1+Assumptions!$B$26)^(3-0.5*Assumptions!$B$32)</f>
        <v>0.8319954029638265</v>
      </c>
      <c r="E14" s="21">
        <f>1/(1+Assumptions!$B$26)^(4-0.5*Assumptions!$B$32)</f>
        <v>0.7729818513716945</v>
      </c>
      <c r="F14" s="21">
        <f>1/(1+Assumptions!$B$26)^(5-0.5*Assumptions!$B$32)</f>
        <v>0.7181541393396264</v>
      </c>
    </row>
    <row r="15" spans="1:6" x14ac:dyDescent="0.25">
      <c r="A15" s="19" t="s">
        <v>51</v>
      </c>
      <c r="B15" s="20">
        <f>B13*B14</f>
        <v>1090392560.9774928</v>
      </c>
      <c r="C15" s="20">
        <f>C13*C14</f>
        <v>967062536.0102488</v>
      </c>
      <c r="D15" s="20">
        <f>D13*D14</f>
        <v>857681886.343938</v>
      </c>
      <c r="E15" s="20">
        <f>E13*E14</f>
        <v>760672852.8616066</v>
      </c>
      <c r="F15" s="20">
        <f>F13*F14</f>
        <v>674636130.5904762</v>
      </c>
    </row>
    <row r="17" spans="1:2" x14ac:dyDescent="0.25">
      <c r="A17" s="22" t="s">
        <v>52</v>
      </c>
      <c r="B17" s="23">
        <f>SUM(B15:F15)</f>
        <v>4350445966.783762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939402968.8540584</v>
      </c>
    </row>
    <row r="5" spans="1:2" x14ac:dyDescent="0.25">
      <c r="A5" t="s">
        <v>56</v>
      </c>
      <c r="B5" s="18">
        <f>IF(Assumptions!$B$33=0,B4,B4-Forecast!F11-Forecast!F10-Forecast!F12)</f>
        <v>1667578988.7097082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0.3274594692733057</v>
      </c>
    </row>
    <row r="7" spans="1:2" x14ac:dyDescent="0.25">
      <c r="A7" t="s">
        <v>58</v>
      </c>
      <c r="B7" s="18">
        <f>-MAX(Forecast!F9,0)*B6</f>
        <v>-546064530.6141969</v>
      </c>
    </row>
    <row r="8" spans="1:2" x14ac:dyDescent="0.25">
      <c r="A8" t="s">
        <v>59</v>
      </c>
      <c r="B8" s="18">
        <f>IF(OR(Assumptions!$B$33=0,Assumptions!B12&lt;=0),B5,MAX(B5+B7,0))</f>
        <v>1121514458.0955114</v>
      </c>
    </row>
    <row r="9" spans="1:2" x14ac:dyDescent="0.25">
      <c r="A9" t="s">
        <v>60</v>
      </c>
      <c r="B9" s="18">
        <f>B8*(1+Assumptions!B12)/(Assumptions!B26-Assumptions!B12)</f>
        <v>22388645755.18207</v>
      </c>
    </row>
    <row r="10" spans="1:2" x14ac:dyDescent="0.25">
      <c r="A10" t="s">
        <v>61</v>
      </c>
      <c r="B10" s="18">
        <f>B9/(1+Assumptions!B26)^(5-0.5*Assumptions!B32)</f>
        <v>16078498623.292559</v>
      </c>
    </row>
    <row r="11" spans="1:2" x14ac:dyDescent="0.25">
      <c r="A11" t="s">
        <v>62</v>
      </c>
      <c r="B11" s="18">
        <f>Forecast!B17+B10</f>
        <v>20428944590.07632</v>
      </c>
    </row>
    <row r="12" spans="1:2" x14ac:dyDescent="0.25">
      <c r="A12" t="s">
        <v>63</v>
      </c>
      <c r="B12" s="18">
        <f>-Assumptions!B30</f>
        <v>-9806000000</v>
      </c>
    </row>
    <row r="13" spans="1:2" x14ac:dyDescent="0.25">
      <c r="A13" t="s">
        <v>64</v>
      </c>
      <c r="B13" s="18">
        <f>B11+B12</f>
        <v>10622944590.07632</v>
      </c>
    </row>
    <row r="14" spans="1:2" x14ac:dyDescent="0.25">
      <c r="A14" s="19" t="s">
        <v>65</v>
      </c>
      <c r="B14" s="24">
        <f>B13/Assumptions!B31</f>
        <v>1.406670771395186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3787467444.695504</v>
      </c>
    </row>
    <row r="18" spans="1:2" x14ac:dyDescent="0.25">
      <c r="A18" t="s">
        <v>60</v>
      </c>
      <c r="B18" s="18">
        <f>B17*Assumptions!B13</f>
        <v>26049324133.532852</v>
      </c>
    </row>
    <row r="19" spans="1:2" x14ac:dyDescent="0.25">
      <c r="A19" t="s">
        <v>61</v>
      </c>
      <c r="B19" s="18">
        <f>B18/(1+Assumptions!B26)^(5-0.5*Assumptions!B32)</f>
        <v>18707429953.496243</v>
      </c>
    </row>
    <row r="20" spans="1:2" x14ac:dyDescent="0.25">
      <c r="A20" t="s">
        <v>62</v>
      </c>
      <c r="B20" s="18">
        <f>Forecast!B17+B19</f>
        <v>23057875920.280006</v>
      </c>
    </row>
    <row r="21" spans="1:2" x14ac:dyDescent="0.25">
      <c r="A21" t="s">
        <v>63</v>
      </c>
      <c r="B21" s="18">
        <f>-Assumptions!B30</f>
        <v>-9806000000</v>
      </c>
    </row>
    <row r="22" spans="1:2" x14ac:dyDescent="0.25">
      <c r="A22" t="s">
        <v>64</v>
      </c>
      <c r="B22" s="18">
        <f>B20+B21</f>
        <v>13251875920.280006</v>
      </c>
    </row>
    <row r="23" spans="1:2" x14ac:dyDescent="0.25">
      <c r="A23" s="19" t="s">
        <v>65</v>
      </c>
      <c r="B23" s="25">
        <f>B22/Assumptions!B31</f>
        <v>1.7547890196685703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7.745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1.406670771395186</v>
      </c>
    </row>
    <row r="29" spans="1:2" x14ac:dyDescent="0.25">
      <c r="A29" s="19" t="s">
        <v>73</v>
      </c>
      <c r="B29" s="12">
        <f>B28/B26-1</f>
        <v>-0.8183769178314801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0.056345</v>
      </c>
      <c r="B5" s="31">
        <v>2.4110234332191705</v>
      </c>
      <c r="C5" s="31">
        <v>2.42633510349529</v>
      </c>
      <c r="D5" s="31">
        <v>2.4416467737714096</v>
      </c>
      <c r="E5" s="31">
        <v>2.456958444047529</v>
      </c>
      <c r="F5" s="31">
        <v>2.4722701143236465</v>
      </c>
    </row>
    <row r="6" spans="1:6" x14ac:dyDescent="0.25">
      <c r="A6" s="30">
        <v>0.066345</v>
      </c>
      <c r="B6" s="31">
        <v>1.8201090334758085</v>
      </c>
      <c r="C6" s="31">
        <v>1.8325729907491835</v>
      </c>
      <c r="D6" s="31">
        <v>1.8450369480225572</v>
      </c>
      <c r="E6" s="31">
        <v>1.857500905295931</v>
      </c>
      <c r="F6" s="31">
        <v>1.8699648625693048</v>
      </c>
    </row>
    <row r="7" spans="1:6" x14ac:dyDescent="0.25">
      <c r="A7" s="30">
        <v>0.076345</v>
      </c>
      <c r="B7" s="31">
        <v>1.3859114869542966</v>
      </c>
      <c r="C7" s="31">
        <v>1.39629732693667</v>
      </c>
      <c r="D7" s="32">
        <v>1.4066831669190434</v>
      </c>
      <c r="E7" s="31">
        <v>1.417069006901417</v>
      </c>
      <c r="F7" s="31">
        <v>1.42745484688379</v>
      </c>
    </row>
    <row r="8" spans="1:6" x14ac:dyDescent="0.25">
      <c r="A8" s="30">
        <v>0.086345</v>
      </c>
      <c r="B8" s="31">
        <v>1.053876773797728</v>
      </c>
      <c r="C8" s="31">
        <v>1.0626854735689186</v>
      </c>
      <c r="D8" s="31">
        <v>1.0714941733401082</v>
      </c>
      <c r="E8" s="31">
        <v>1.0803028731112996</v>
      </c>
      <c r="F8" s="31">
        <v>1.0891115728824892</v>
      </c>
    </row>
    <row r="9" spans="1:6" x14ac:dyDescent="0.25">
      <c r="A9" s="30">
        <v>0.096345</v>
      </c>
      <c r="B9" s="31">
        <v>0.7921066834310634</v>
      </c>
      <c r="C9" s="31">
        <v>0.7996821991506974</v>
      </c>
      <c r="D9" s="31">
        <v>0.8072577148703313</v>
      </c>
      <c r="E9" s="31">
        <v>0.8148332305899649</v>
      </c>
      <c r="F9" s="31">
        <v>0.8224087463095989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13734000000</v>
      </c>
      <c r="C5" s="18">
        <v>13653000000</v>
      </c>
      <c r="D5" s="18">
        <v>14311000000</v>
      </c>
      <c r="E5" s="18">
        <v>15788000000</v>
      </c>
      <c r="F5" s="8" t="s">
        <v>84</v>
      </c>
    </row>
    <row r="6" spans="1:6" x14ac:dyDescent="0.25">
      <c r="A6" t="s">
        <v>44</v>
      </c>
      <c r="B6" s="18">
        <v>890000000</v>
      </c>
      <c r="C6" s="18">
        <v>1965000000</v>
      </c>
      <c r="D6" s="18">
        <v>2026000000</v>
      </c>
      <c r="E6" s="18">
        <v>1111000000</v>
      </c>
      <c r="F6" s="8" t="s">
        <v>85</v>
      </c>
    </row>
    <row r="7" spans="1:6" x14ac:dyDescent="0.25">
      <c r="A7" t="s">
        <v>86</v>
      </c>
      <c r="B7" s="18">
        <v>2938000000</v>
      </c>
      <c r="C7" s="18">
        <v>3063000000</v>
      </c>
      <c r="D7" s="18">
        <v>3292000000</v>
      </c>
      <c r="E7" s="18">
        <v>4777000000</v>
      </c>
      <c r="F7" s="8" t="s">
        <v>87</v>
      </c>
    </row>
    <row r="8" spans="1:6" x14ac:dyDescent="0.25">
      <c r="A8" t="s">
        <v>88</v>
      </c>
      <c r="B8" s="18">
        <v>2501000000</v>
      </c>
      <c r="C8" s="18">
        <v>2750000000</v>
      </c>
      <c r="D8" s="18">
        <v>2832000000</v>
      </c>
      <c r="E8" s="18">
        <v>6305000000</v>
      </c>
      <c r="F8" s="8" t="s">
        <v>89</v>
      </c>
    </row>
    <row r="9" spans="1:6" x14ac:dyDescent="0.25">
      <c r="A9" t="s">
        <v>90</v>
      </c>
      <c r="B9" s="18">
        <v>1083000000</v>
      </c>
      <c r="C9" s="18">
        <v>81000000</v>
      </c>
      <c r="D9" s="18">
        <v>-307000000</v>
      </c>
      <c r="E9" s="18">
        <v>-3028000000</v>
      </c>
      <c r="F9" s="8" t="s">
        <v>91</v>
      </c>
    </row>
    <row r="10" spans="1:6" x14ac:dyDescent="0.25">
      <c r="A10" t="s">
        <v>92</v>
      </c>
      <c r="B10" s="18">
        <v>13224000000</v>
      </c>
      <c r="C10" s="18">
        <v>14717000000</v>
      </c>
      <c r="D10" s="18">
        <v>31551000000</v>
      </c>
      <c r="E10" s="18">
        <v>31189000000</v>
      </c>
      <c r="F10" s="8" t="s">
        <v>93</v>
      </c>
    </row>
    <row r="11" spans="1:6" x14ac:dyDescent="0.25">
      <c r="A11" t="s">
        <v>94</v>
      </c>
      <c r="B11" s="18">
        <v>3418000000</v>
      </c>
      <c r="C11" s="18">
        <v>4463000000</v>
      </c>
      <c r="D11" s="18">
        <v>4794000000</v>
      </c>
      <c r="E11" s="18">
        <v>5001000000</v>
      </c>
      <c r="F11" s="8" t="s">
        <v>95</v>
      </c>
    </row>
    <row r="12" spans="1:6" x14ac:dyDescent="0.25">
      <c r="A12" t="s">
        <v>32</v>
      </c>
      <c r="B12" s="34">
        <v>7551834307</v>
      </c>
      <c r="C12" s="34">
        <v>7551094068</v>
      </c>
      <c r="D12" s="34">
        <v>2125900209</v>
      </c>
      <c r="E12" s="34">
        <v>2124131599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2026-09-19T00:07:10Z</dcterms:modified>
</cp:coreProperties>
</file>