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<sst xmlns="http://schemas.openxmlformats.org/spreadsheetml/2006/main" count="120" uniqueCount="107">
  <si>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 TJX Companies, Inc. (TJX)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</si>
  <si>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</si>
  <si>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</si>
  <si>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</si>
  <si>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</si>
  <si>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</si>
  <si>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</si>
  <si>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</si>
  <si>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</si>
  <si>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</si>
  <si>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</si>
  <si>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</si>
  <si>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</si>
  <si>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</si>
  <si>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</si>
  <si>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</si>
  <si>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</si>
  <si>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</si>
  <si>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</si>
  <si>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</si>
  <si>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</si>
  <si>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</si>
  <si>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</si>
  <si>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</si>
  <si>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97.0x interest cover. Book interest / average debt was lower, at 0.6%.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</si>
  <si>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</si>
  <si>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</si>
  <si>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</si>
  <si>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</si>
  <si>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</si>
  <si>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</si>
  <si>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</si>
  <si>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</si>
  <si>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</si>
  <si>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</si>
  <si>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</si>
  <si>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</si>
  <si>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</si>
  <si>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</si>
  <si>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</si>
  <si>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</si>
  <si>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</si>
  <si>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</si>
  <si>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</si>
  <si>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</si>
  <si>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</si>
  <si>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</si>
  <si>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</si>
  <si>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</si>
  <si>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</si>
  <si>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</si>
  <si>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</si>
  <si>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</si>
  <si>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</si>
  <si>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</si>
  <si>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</si>
  <si>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</si>
  <si>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</si>
  <si>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</si>
  <si>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</si>
  <si>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</si>
  <si>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</si>
  <si>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</si>
  <si>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</si>
  <si>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</si>
  <si>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</si>
  <si>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</si>
  <si>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</si>
  <si>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</si>
  <si>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</si>
  <si>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</si>
  <si>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</si>
  <si>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</si>
  <si>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</si>
  <si>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</si>
  <si>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</si>
  <si>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</si>
  <si>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</si>
  <si>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</si>
  <si>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</si>
  <si>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</si>
  <si>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</si>
  <si>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</si>
  <si>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</si>
  <si>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</si>
  <si>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</si>
  <si>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</si>
  <si>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</si>
  <si>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</si>
  <si>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</si>
  <si>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</si>
  <si>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</si>
  <si>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</si>
  <si>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</si>
  <si>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</si>
  <si>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</si>
  <si>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</si>
  <si>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</si>
  <si>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</si>
  <si>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</si>
  <si>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</si>
  <si>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</si>
  <si>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</si>
  <si>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</si>
  <si>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</si>
  <si>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3.2% of revenue against depreciation of 1.9%.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</si>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</sst>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0.06036863264427228</v>
      </c>
    </row>
    <row r="7" spans="1:2" x14ac:dyDescent="0.25">
      <c r="A7" t="s">
        <v>4</v>
      </c>
      <c r="B7" s="5">
        <v>0.1087399567459384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0.018946692119592372</v>
      </c>
    </row>
    <row r="10" spans="1:3" x14ac:dyDescent="0.25">
      <c r="A10" t="s">
        <v>7</v>
      </c>
      <c r="B10" s="5">
        <v>0.031846379978114236</v>
      </c>
      <c r="C10" s="6" t="s">
        <v>8</v>
      </c>
    </row>
    <row r="11" spans="1:2" x14ac:dyDescent="0.25">
      <c r="A11" t="s">
        <v>9</v>
      </c>
      <c r="B11" s="5">
        <v>0.05018599841144138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19.180575137804155</v>
      </c>
    </row>
    <row r="14" spans="1:3" x14ac:dyDescent="0.25">
      <c r="A14" t="s">
        <v>12</v>
      </c>
      <c r="B14" s="5">
        <v>0.4382087468856372</v>
      </c>
      <c r="C14" s="6" t="s">
        <v>13</v>
      </c>
    </row>
    <row r="15" spans="1:3" x14ac:dyDescent="0.25">
      <c r="A15" t="s">
        <v>14</v>
      </c>
      <c r="B15" s="5">
        <v>0.018946692119592372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0.70587</v>
      </c>
      <c r="C19" s="6" t="s">
        <v>21</v>
      </c>
    </row>
    <row r="20" spans="1:2" x14ac:dyDescent="0.25">
      <c r="A20" t="s">
        <v>22</v>
      </c>
      <c r="B20" s="9">
        <f>B17+B19*B18</f>
        <v>0.078798301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154337345536</v>
      </c>
    </row>
    <row r="23" spans="1:2" x14ac:dyDescent="0.25">
      <c r="A23" t="s">
        <v>26</v>
      </c>
      <c r="B23" s="10">
        <v>13489000000</v>
      </c>
    </row>
    <row r="24" spans="1:2" x14ac:dyDescent="0.25">
      <c r="A24" t="s">
        <v>27</v>
      </c>
      <c r="B24" s="9">
        <f>B22/(B22+B23)</f>
        <v>0.9196252533717567</v>
      </c>
    </row>
    <row r="25" spans="1:2" x14ac:dyDescent="0.25">
      <c r="A25" t="s">
        <v>28</v>
      </c>
      <c r="B25" s="9">
        <f>1-B24</f>
        <v>0.08037474662824329</v>
      </c>
    </row>
    <row r="26" spans="1:2" x14ac:dyDescent="0.25">
      <c r="A26" t="s">
        <v>29</v>
      </c>
      <c r="B26" s="11">
        <f>B24*B20+B25*B21*(1-B8)</f>
        <v>0.07582638840072331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60372000000</v>
      </c>
      <c r="C29" s="6" t="s">
        <v>32</v>
      </c>
    </row>
    <row r="30" spans="1:2" x14ac:dyDescent="0.25">
      <c r="A30" t="s">
        <v>33</v>
      </c>
      <c r="B30" s="10">
        <v>7259000000</v>
      </c>
    </row>
    <row r="31" spans="1:2" x14ac:dyDescent="0.25">
      <c r="A31" t="s">
        <v>34</v>
      </c>
      <c r="B31" s="12">
        <v>1128000000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0.06036863264427228</v>
      </c>
      <c r="C5" s="5">
        <v>0.06211437949327503</v>
      </c>
      <c r="D5" s="5">
        <v>0.05747508205661565</v>
      </c>
      <c r="E5" s="5">
        <v>0.05283578461995627</v>
      </c>
      <c r="F5" s="5">
        <v>0.048196487183296895</v>
      </c>
      <c r="G5" s="5">
        <v>0.04355718974663751</v>
      </c>
      <c r="H5" s="5">
        <v>0.038917892309978136</v>
      </c>
      <c r="I5" s="5">
        <v>0.03427859487331876</v>
      </c>
      <c r="J5" s="5">
        <v>0.029639297436659377</v>
      </c>
      <c r="K5" s="5">
        <v>0.025</v>
      </c>
    </row>
    <row r="6" spans="1:11" x14ac:dyDescent="0.25">
      <c r="A6" t="s">
        <v>50</v>
      </c>
      <c r="B6" s="18">
        <f>Assumptions!B29*(1+B5)</f>
        <v>64016575090.00001</v>
      </c>
      <c r="C6" s="18">
        <f>B6*(1+C5)</f>
        <v>67992924929.00001</v>
      </c>
      <c r="D6" s="18">
        <f>C6*(1+D5)</f>
        <v>71900823868.5636</v>
      </c>
      <c r="E6" s="18">
        <f>D6*(1+E5)</f>
        <v>75699760312.48044</v>
      </c>
      <c r="F6" s="18">
        <f>E6*(1+F5)</f>
        <v>79348222840.15955</v>
      </c>
      <c r="G6" s="18">
        <f>F6*(1+G5)</f>
        <v>82804408438.46686</v>
      </c>
      <c r="H6" s="18">
        <f>G6*(1+H5)</f>
        <v>86026981488.86656</v>
      </c>
      <c r="I6" s="18">
        <f>H6*(1+I5)</f>
        <v>88975865535.49792</v>
      </c>
      <c r="J6" s="18">
        <f>I6*(1+J5)</f>
        <v>91613047678.78874</v>
      </c>
      <c r="K6" s="18">
        <f>J6*(1+K5)</f>
        <v>93903373870.75845</v>
      </c>
    </row>
    <row r="7" spans="1:11" x14ac:dyDescent="0.25">
      <c r="A7" t="s">
        <v>4</v>
      </c>
      <c r="B7" s="9">
        <f>Assumptions!B7</f>
        <v>0.1087399567459384</v>
      </c>
      <c r="C7" s="9">
        <f>Assumptions!B7</f>
        <v>0.1087399567459384</v>
      </c>
      <c r="D7" s="9">
        <f>Assumptions!B7</f>
        <v>0.1087399567459384</v>
      </c>
      <c r="E7" s="9">
        <f>Assumptions!B7</f>
        <v>0.1087399567459384</v>
      </c>
      <c r="F7" s="9">
        <f>Assumptions!B7</f>
        <v>0.1087399567459384</v>
      </c>
      <c r="G7" s="9">
        <f>Assumptions!B7</f>
        <v>0.1087399567459384</v>
      </c>
      <c r="H7" s="9">
        <f>Assumptions!B7</f>
        <v>0.1087399567459384</v>
      </c>
      <c r="I7" s="9">
        <f>Assumptions!B7</f>
        <v>0.1087399567459384</v>
      </c>
      <c r="J7" s="9">
        <f>Assumptions!B7</f>
        <v>0.1087399567459384</v>
      </c>
      <c r="K7" s="9">
        <f>Assumptions!B7</f>
        <v>0.1087399567459384</v>
      </c>
    </row>
    <row r="8" spans="1:11" x14ac:dyDescent="0.25">
      <c r="A8" t="s">
        <v>51</v>
      </c>
      <c r="B8" s="18">
        <f>B6*B7</f>
        <v>6961159606.309718</v>
      </c>
      <c r="C8" s="18">
        <f>C6*C7</f>
        <v>7393547715.809298</v>
      </c>
      <c r="D8" s="18">
        <f>D6*D7</f>
        <v>7818492477.46494</v>
      </c>
      <c r="E8" s="18">
        <f>E6*E7</f>
        <v>8231588662.057027</v>
      </c>
      <c r="F8" s="18">
        <f>F6*F7</f>
        <v>8628322319.50603</v>
      </c>
      <c r="G8" s="18">
        <f>G6*G7</f>
        <v>9004147791.971903</v>
      </c>
      <c r="H8" s="18">
        <f>H6*H7</f>
        <v>9354570246.082993</v>
      </c>
      <c r="I8" s="18">
        <f>I6*I7</f>
        <v>9675231769.762474</v>
      </c>
      <c r="J8" s="18">
        <f>J6*J7</f>
        <v>9961998841.95508</v>
      </c>
      <c r="K8" s="18">
        <f>K6*K7</f>
        <v>10211048813.003956</v>
      </c>
    </row>
    <row r="9" spans="1:11" x14ac:dyDescent="0.25">
      <c r="A9" t="s">
        <v>52</v>
      </c>
      <c r="B9" s="18">
        <f>B8*(1-Assumptions!B8)</f>
        <v>5499316088.984677</v>
      </c>
      <c r="C9" s="18">
        <f>C8*(1-Assumptions!B8)</f>
        <v>5840902695.489346</v>
      </c>
      <c r="D9" s="18">
        <f>D8*(1-Assumptions!B8)</f>
        <v>6176609057.197303</v>
      </c>
      <c r="E9" s="18">
        <f>E8*(1-Assumptions!B8)</f>
        <v>6502955043.025051</v>
      </c>
      <c r="F9" s="18">
        <f>F8*(1-Assumptions!B8)</f>
        <v>6816374632.409763</v>
      </c>
      <c r="G9" s="18">
        <f>G8*(1-Assumptions!B8)</f>
        <v>7113276755.657804</v>
      </c>
      <c r="H9" s="18">
        <f>H8*(1-Assumptions!B8)</f>
        <v>7390110494.405564</v>
      </c>
      <c r="I9" s="18">
        <f>I8*(1-Assumptions!B8)</f>
        <v>7643433098.112355</v>
      </c>
      <c r="J9" s="18">
        <f>J8*(1-Assumptions!B8)</f>
        <v>7869979085.144513</v>
      </c>
      <c r="K9" s="18">
        <f>K8*(1-Assumptions!B8)</f>
        <v>8066728562.273126</v>
      </c>
    </row>
    <row r="10" spans="1:11" x14ac:dyDescent="0.25">
      <c r="A10" t="s">
        <v>53</v>
      </c>
      <c r="B10" s="18">
        <f>B6*Assumptions!B9</f>
        <v>1212902338.7809966</v>
      </c>
      <c r="C10" s="18">
        <f>C6*Assumptions!B9</f>
        <v>1288241014.9403203</v>
      </c>
      <c r="D10" s="18">
        <f>D6*Assumptions!B9</f>
        <v>1362282772.982713</v>
      </c>
      <c r="E10" s="18">
        <f>E6*Assumptions!B9</f>
        <v>1434260052.1675045</v>
      </c>
      <c r="F10" s="18">
        <f>F6*Assumptions!B9</f>
        <v>1503386348.3893104</v>
      </c>
      <c r="G10" s="18">
        <f>G6*Assumptions!B9</f>
        <v>1568869632.828608</v>
      </c>
      <c r="H10" s="18">
        <f>H6*Assumptions!B9</f>
        <v>1629926732.247427</v>
      </c>
      <c r="I10" s="18">
        <f>I6*Assumptions!B9</f>
        <v>1685798330.375329</v>
      </c>
      <c r="J10" s="18">
        <f>J6*Assumptions!B9</f>
        <v>1735764208.507547</v>
      </c>
      <c r="K10" s="18">
        <f>K6*Assumptions!B9</f>
        <v>1779158313.7202353</v>
      </c>
    </row>
    <row r="11" spans="1:11" x14ac:dyDescent="0.25">
      <c r="A11" t="s">
        <v>54</v>
      </c>
      <c r="B11" s="18">
        <f>-B6*B19</f>
        <v>-2038696175.2136228</v>
      </c>
      <c r="C11" s="18">
        <f>-C6*C19</f>
        <v>-2104899471.592516</v>
      </c>
      <c r="D11" s="18">
        <f>-D6*D19</f>
        <v>-2161976525.228704</v>
      </c>
      <c r="E11" s="18">
        <f>-E6*E19</f>
        <v>-2208927711.321922</v>
      </c>
      <c r="F11" s="18">
        <f>-F6*F19</f>
        <v>-2244869138.214036</v>
      </c>
      <c r="G11" s="18">
        <f>-G6*G19</f>
        <v>-2269056497.7808986</v>
      </c>
      <c r="H11" s="18">
        <f>-H6*H19</f>
        <v>-2280906484.8752213</v>
      </c>
      <c r="I11" s="18">
        <f>-I6*I19</f>
        <v>-2280015009.462372</v>
      </c>
      <c r="J11" s="18">
        <f>-J6*J19</f>
        <v>-2266171498.9387417</v>
      </c>
      <c r="K11" s="18">
        <f>-K6*K19</f>
        <v>-2239368694.0243487</v>
      </c>
    </row>
    <row r="12" spans="1:11" x14ac:dyDescent="0.25">
      <c r="A12" t="s">
        <v>55</v>
      </c>
      <c r="B12" s="18">
        <f>-(B6-Assumptions!B29)*Assumptions!B11</f>
        <v>-182906639.67711923</v>
      </c>
      <c r="C12" s="18">
        <f>-(C6-B6)*Assumptions!B11</f>
        <v>-199557086.7033892</v>
      </c>
      <c r="D12" s="18">
        <f>-(D6-C6)*Assumptions!B11</f>
        <v>-196121809.97301185</v>
      </c>
      <c r="E12" s="18">
        <f>-(E6-D6)*Assumptions!B11</f>
        <v>-190653418.3395773</v>
      </c>
      <c r="F12" s="18">
        <f>-(F6-E6)*Assumptions!B11</f>
        <v>-183101734.6183071</v>
      </c>
      <c r="G12" s="18">
        <f>-(G6-F6)*Assumptions!B11</f>
        <v>-173452124.94629735</v>
      </c>
      <c r="H12" s="18">
        <f>-(H6-G6)*Assumptions!B11</f>
        <v>-161728045.98811334</v>
      </c>
      <c r="I12" s="18">
        <f>-(I6-H6)*Assumptions!B11</f>
        <v>-147992690.07976642</v>
      </c>
      <c r="J12" s="18">
        <f>-(J6-I6)*Assumptions!B11</f>
        <v>-132349618.85387453</v>
      </c>
      <c r="K12" s="18">
        <f>-(K6-J6)*Assumptions!B11</f>
        <v>-114942306.63187453</v>
      </c>
    </row>
    <row r="13" spans="1:11" x14ac:dyDescent="0.25">
      <c r="A13" s="19" t="s">
        <v>56</v>
      </c>
      <c r="B13" s="20">
        <f>B9+B10+B11+B12</f>
        <v>4490615612.874931</v>
      </c>
      <c r="C13" s="20">
        <f>C9+C10+C11+C12</f>
        <v>4824687152.13376</v>
      </c>
      <c r="D13" s="20">
        <f>D9+D10+D11+D12</f>
        <v>5180793494.978299</v>
      </c>
      <c r="E13" s="20">
        <f>E9+E10+E11+E12</f>
        <v>5537633965.531056</v>
      </c>
      <c r="F13" s="20">
        <f>F9+F10+F11+F12</f>
        <v>5891790107.966731</v>
      </c>
      <c r="G13" s="20">
        <f>G9+G10+G11+G12</f>
        <v>6239637765.759215</v>
      </c>
      <c r="H13" s="20">
        <f>H9+H10+H11+H12</f>
        <v>6577402695.789658</v>
      </c>
      <c r="I13" s="20">
        <f>I9+I10+I11+I12</f>
        <v>6901223728.945546</v>
      </c>
      <c r="J13" s="20">
        <f>J9+J10+J11+J12</f>
        <v>7207222175.859444</v>
      </c>
      <c r="K13" s="20">
        <f>K9+K10+K11+K12</f>
        <v>7491575875.337137</v>
      </c>
    </row>
    <row r="14" spans="1:11" x14ac:dyDescent="0.25">
      <c r="A14" t="s">
        <v>57</v>
      </c>
      <c r="B14" s="21">
        <f>1/(1+Assumptions!$B$26)^(1-0.5*Assumptions!$B$32)</f>
        <v>0.9641151417780212</v>
      </c>
      <c r="C14" s="21">
        <f>1/(1+Assumptions!$B$26)^(2-0.5*Assumptions!$B$32)</f>
        <v>0.8961623847238331</v>
      </c>
      <c r="D14" s="21">
        <f>1/(1+Assumptions!$B$26)^(3-0.5*Assumptions!$B$32)</f>
        <v>0.8329990734434662</v>
      </c>
      <c r="E14" s="21">
        <f>1/(1+Assumptions!$B$26)^(4-0.5*Assumptions!$B$32)</f>
        <v>0.7742876382515274</v>
      </c>
      <c r="F14" s="21">
        <f>1/(1+Assumptions!$B$26)^(5-0.5*Assumptions!$B$32)</f>
        <v>0.719714302046959</v>
      </c>
      <c r="G14" s="21">
        <f>1/(1+Assumptions!$B$26)^(6-0.5*Assumptions!$B$32)</f>
        <v>0.6689874033642687</v>
      </c>
      <c r="H14" s="21">
        <f>1/(1+Assumptions!$B$26)^(7-0.5*Assumptions!$B$32)</f>
        <v>0.6218358376194473</v>
      </c>
      <c r="I14" s="21">
        <f>1/(1+Assumptions!$B$26)^(8-0.5*Assumptions!$B$32)</f>
        <v>0.5780076082199855</v>
      </c>
      <c r="J14" s="21">
        <f>1/(1+Assumptions!$B$26)^(9-0.5*Assumptions!$B$32)</f>
        <v>0.5372684797955426</v>
      </c>
      <c r="K14" s="21">
        <f>1/(1+Assumptions!$B$26)^(10-0.5*Assumptions!$B$32)</f>
        <v>0.4994007263516027</v>
      </c>
    </row>
    <row r="15" spans="1:11" x14ac:dyDescent="0.25">
      <c r="A15" s="19" t="s">
        <v>58</v>
      </c>
      <c r="B15" s="20">
        <f>B13*B14</f>
        <v>4329470508.27751</v>
      </c>
      <c r="C15" s="20">
        <f>C13*C14</f>
        <v>4323703143.802629</v>
      </c>
      <c r="D15" s="20">
        <f>D13*D14</f>
        <v>4315596181.018861</v>
      </c>
      <c r="E15" s="20">
        <f>E13*E14</f>
        <v>4287721524.6724815</v>
      </c>
      <c r="F15" s="20">
        <f>F13*F14</f>
        <v>4240405605.362453</v>
      </c>
      <c r="G15" s="20">
        <f>G13*G14</f>
        <v>4174239066.848884</v>
      </c>
      <c r="H15" s="20">
        <f>H13*H14</f>
        <v>4090064714.696772</v>
      </c>
      <c r="I15" s="20">
        <f>I13*I14</f>
        <v>3988959821.3588247</v>
      </c>
      <c r="J15" s="20">
        <f>J13*J14</f>
        <v>3872213301.972726</v>
      </c>
      <c r="K15" s="20">
        <f>K13*K14</f>
        <v>3741298433.66151</v>
      </c>
    </row>
    <row r="17" spans="1:2" x14ac:dyDescent="0.25">
      <c r="A17" s="22" t="s">
        <v>59</v>
      </c>
      <c r="B17" s="23">
        <f>SUM(B15:K15)</f>
        <v>41363672301.67265</v>
      </c>
    </row>
    <row r="19" spans="1:11" x14ac:dyDescent="0.25">
      <c r="A19" t="s">
        <v>7</v>
      </c>
      <c r="B19" s="9">
        <f>Assumptions!$B$10+($B$20-Assumptions!$B$10)*0/9</f>
        <v>0.031846379978114236</v>
      </c>
      <c r="C19" s="9">
        <f>Assumptions!$B$10+($B$20-Assumptions!$B$10)*1/9</f>
        <v>0.03095762498510701</v>
      </c>
      <c r="D19" s="9">
        <f>Assumptions!$B$10+($B$20-Assumptions!$B$10)*2/9</f>
        <v>0.030068869992099782</v>
      </c>
      <c r="E19" s="9">
        <f>Assumptions!$B$10+($B$20-Assumptions!$B$10)*3/9</f>
        <v>0.029180114999092555</v>
      </c>
      <c r="F19" s="9">
        <f>Assumptions!$B$10+($B$20-Assumptions!$B$10)*4/9</f>
        <v>0.028291360006085328</v>
      </c>
      <c r="G19" s="9">
        <f>Assumptions!$B$10+($B$20-Assumptions!$B$10)*5/9</f>
        <v>0.0274026050130781</v>
      </c>
      <c r="H19" s="9">
        <f>Assumptions!$B$10+($B$20-Assumptions!$B$10)*6/9</f>
        <v>0.026513850020070874</v>
      </c>
      <c r="I19" s="9">
        <f>Assumptions!$B$10+($B$20-Assumptions!$B$10)*7/9</f>
        <v>0.025625095027063647</v>
      </c>
      <c r="J19" s="9">
        <f>Assumptions!$B$10+($B$20-Assumptions!$B$10)*8/9</f>
        <v>0.02473634003405642</v>
      </c>
      <c r="K19" s="9">
        <f>Assumptions!$B$10+($B$20-Assumptions!$B$10)*9/9</f>
        <v>0.023847585041049193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0.023847585041049193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7491575875.337137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8066728562.273126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0.05705043584290764</v>
      </c>
    </row>
    <row r="7" spans="1:2" x14ac:dyDescent="0.25">
      <c r="A7" t="s">
        <v>66</v>
      </c>
      <c r="B7" s="18">
        <f>-MAX(B5,0)*B6</f>
        <v>-460210380.30411357</v>
      </c>
    </row>
    <row r="8" spans="1:2" x14ac:dyDescent="0.25">
      <c r="A8" t="s">
        <v>67</v>
      </c>
      <c r="B8" s="18">
        <f>IF(OR(Assumptions!$B$33=0,Assumptions!B12&lt;=0),B5,MAX(B5+B7,0))</f>
        <v>7606518181.969012</v>
      </c>
    </row>
    <row r="9" spans="1:2" x14ac:dyDescent="0.25">
      <c r="A9" t="s">
        <v>68</v>
      </c>
      <c r="B9" s="18">
        <f>B8*(1+Assumptions!B12)/(Assumptions!B26-Assumptions!B12)</f>
        <v>153398291357.00073</v>
      </c>
    </row>
    <row r="10" spans="1:2" x14ac:dyDescent="0.25">
      <c r="A10" t="s">
        <v>69</v>
      </c>
      <c r="B10" s="18">
        <f>B9/(1+Assumptions!B26)^(10-0.5*Assumptions!B32)</f>
        <v>76607218124.78094</v>
      </c>
    </row>
    <row r="11" spans="1:2" x14ac:dyDescent="0.25">
      <c r="A11" t="s">
        <v>70</v>
      </c>
      <c r="B11" s="18">
        <f>Forecast!B17+B10</f>
        <v>117970890426.4536</v>
      </c>
    </row>
    <row r="12" spans="1:2" x14ac:dyDescent="0.25">
      <c r="A12" t="s">
        <v>71</v>
      </c>
      <c r="B12" s="18">
        <f>-Assumptions!B30</f>
        <v>-7259000000</v>
      </c>
    </row>
    <row r="13" spans="1:2" x14ac:dyDescent="0.25">
      <c r="A13" t="s">
        <v>72</v>
      </c>
      <c r="B13" s="18">
        <f>B11+B12</f>
        <v>110711890426.4536</v>
      </c>
    </row>
    <row r="14" spans="1:2" x14ac:dyDescent="0.25">
      <c r="A14" s="19" t="s">
        <v>73</v>
      </c>
      <c r="B14" s="24">
        <f>B13/Assumptions!B31</f>
        <v>98.14883903054397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11990207126.724192</v>
      </c>
    </row>
    <row r="18" spans="1:2" x14ac:dyDescent="0.25">
      <c r="A18" t="s">
        <v>68</v>
      </c>
      <c r="B18" s="18">
        <f>B17*Assumptions!B13</f>
        <v>229979068711.96823</v>
      </c>
    </row>
    <row r="19" spans="1:2" x14ac:dyDescent="0.25">
      <c r="A19" t="s">
        <v>69</v>
      </c>
      <c r="B19" s="18">
        <f>B18/(1+Assumptions!B26)^(10-0.5*Assumptions!B32)</f>
        <v>114851713960.42209</v>
      </c>
    </row>
    <row r="20" spans="1:2" x14ac:dyDescent="0.25">
      <c r="A20" t="s">
        <v>70</v>
      </c>
      <c r="B20" s="18">
        <f>Forecast!B17+B19</f>
        <v>156215386262.09473</v>
      </c>
    </row>
    <row r="21" spans="1:2" x14ac:dyDescent="0.25">
      <c r="A21" t="s">
        <v>71</v>
      </c>
      <c r="B21" s="18">
        <f>-Assumptions!B30</f>
        <v>-7259000000</v>
      </c>
    </row>
    <row r="22" spans="1:2" x14ac:dyDescent="0.25">
      <c r="A22" t="s">
        <v>72</v>
      </c>
      <c r="B22" s="18">
        <f>B20+B21</f>
        <v>148956386262.09473</v>
      </c>
    </row>
    <row r="23" spans="1:2" x14ac:dyDescent="0.25">
      <c r="A23" s="19" t="s">
        <v>73</v>
      </c>
      <c r="B23" s="25">
        <f>B22/Assumptions!B31</f>
        <v>132.05353392029673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140.31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98.14883903054397</v>
      </c>
    </row>
    <row r="29" spans="1:2" x14ac:dyDescent="0.25">
      <c r="A29" s="19" t="s">
        <v>81</v>
      </c>
      <c r="B29" s="11">
        <f>B28/B26-1</f>
        <v>-0.3004857883932438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0.055826</v>
      </c>
      <c r="B5" s="31">
        <v>136.80374968351546</v>
      </c>
      <c r="C5" s="31">
        <v>150.03747200485498</v>
      </c>
      <c r="D5" s="31">
        <v>167.63221627526366</v>
      </c>
      <c r="E5" s="31">
        <v>192.12090781171045</v>
      </c>
      <c r="F5" s="31">
        <v>228.46893646296942</v>
      </c>
    </row>
    <row r="6" spans="1:6" x14ac:dyDescent="0.25">
      <c r="A6" s="30">
        <v>0.065826</v>
      </c>
      <c r="B6" s="31">
        <v>107.70939731379175</v>
      </c>
      <c r="C6" s="31">
        <v>115.09966945559754</v>
      </c>
      <c r="D6" s="31">
        <v>124.3485954045961</v>
      </c>
      <c r="E6" s="31">
        <v>136.23437554899414</v>
      </c>
      <c r="F6" s="31">
        <v>152.0401089912049</v>
      </c>
    </row>
    <row r="7" spans="1:6" x14ac:dyDescent="0.25">
      <c r="A7" s="30">
        <v>0.075826</v>
      </c>
      <c r="B7" s="31">
        <v>88.24602026192456</v>
      </c>
      <c r="C7" s="31">
        <v>92.73758570013783</v>
      </c>
      <c r="D7" s="32">
        <v>98.1496554200554</v>
      </c>
      <c r="E7" s="31">
        <v>104.78353357708191</v>
      </c>
      <c r="F7" s="31">
        <v>113.08812838060915</v>
      </c>
    </row>
    <row r="8" spans="1:6" x14ac:dyDescent="0.25">
      <c r="A8" s="30">
        <v>0.085826</v>
      </c>
      <c r="B8" s="31">
        <v>74.32986225760133</v>
      </c>
      <c r="C8" s="31">
        <v>77.21594855040568</v>
      </c>
      <c r="D8" s="31">
        <v>80.60559399548772</v>
      </c>
      <c r="E8" s="31">
        <v>84.63410091227144</v>
      </c>
      <c r="F8" s="31">
        <v>89.49001300035005</v>
      </c>
    </row>
    <row r="9" spans="1:6" x14ac:dyDescent="0.25">
      <c r="A9" s="30">
        <v>0.095826</v>
      </c>
      <c r="B9" s="31">
        <v>63.898518172311334</v>
      </c>
      <c r="C9" s="31">
        <v>65.82528302706936</v>
      </c>
      <c r="D9" s="31">
        <v>68.04772902323025</v>
      </c>
      <c r="E9" s="31">
        <v>70.63323405282823</v>
      </c>
      <c r="F9" s="31">
        <v>73.67133031429083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60372000000</v>
      </c>
      <c r="C5" s="18">
        <v>56360000000</v>
      </c>
      <c r="D5" s="18">
        <v>54217000000</v>
      </c>
      <c r="E5" s="18">
        <v>49936000000</v>
      </c>
      <c r="F5" s="6" t="s">
        <v>91</v>
      </c>
    </row>
    <row r="6" spans="1:6" x14ac:dyDescent="0.25">
      <c r="A6" t="s">
        <v>51</v>
      </c>
      <c r="B6" s="18">
        <v>7178000000</v>
      </c>
      <c r="C6" s="18">
        <v>6302000000</v>
      </c>
      <c r="D6" s="18">
        <v>5797000000</v>
      </c>
      <c r="E6" s="18">
        <v>4860000000</v>
      </c>
      <c r="F6" s="6" t="s">
        <v>92</v>
      </c>
    </row>
    <row r="7" spans="1:6" x14ac:dyDescent="0.25">
      <c r="A7" t="s">
        <v>93</v>
      </c>
      <c r="B7" s="18">
        <v>1247000000</v>
      </c>
      <c r="C7" s="18">
        <v>1104000000</v>
      </c>
      <c r="D7" s="18">
        <v>964000000</v>
      </c>
      <c r="E7" s="18">
        <v>887000000</v>
      </c>
      <c r="F7" s="6" t="s">
        <v>94</v>
      </c>
    </row>
    <row r="8" spans="1:6" x14ac:dyDescent="0.25">
      <c r="A8" t="s">
        <v>95</v>
      </c>
      <c r="B8" s="18">
        <v>1957000000</v>
      </c>
      <c r="C8" s="18">
        <v>1918000000</v>
      </c>
      <c r="D8" s="18">
        <v>1722000000</v>
      </c>
      <c r="E8" s="18">
        <v>1457000000</v>
      </c>
      <c r="F8" s="6" t="s">
        <v>96</v>
      </c>
    </row>
    <row r="9" spans="1:6" x14ac:dyDescent="0.25">
      <c r="A9" t="s">
        <v>97</v>
      </c>
      <c r="B9" s="18">
        <v>127000000</v>
      </c>
      <c r="C9" s="18">
        <v>-27000000</v>
      </c>
      <c r="D9" s="18">
        <v>-447000000</v>
      </c>
      <c r="E9" s="18">
        <v>821000000</v>
      </c>
      <c r="F9" s="6" t="s">
        <v>98</v>
      </c>
    </row>
    <row r="10" spans="1:6" x14ac:dyDescent="0.25">
      <c r="A10" t="s">
        <v>99</v>
      </c>
      <c r="B10" s="18">
        <v>13489000000</v>
      </c>
      <c r="C10" s="18">
        <v>12778000000</v>
      </c>
      <c r="D10" s="18">
        <v>12542000000</v>
      </c>
      <c r="E10" s="18">
        <v>12744000000</v>
      </c>
      <c r="F10" s="6" t="s">
        <v>100</v>
      </c>
    </row>
    <row r="11" spans="1:6" x14ac:dyDescent="0.25">
      <c r="A11" t="s">
        <v>101</v>
      </c>
      <c r="B11" s="18">
        <v>6230000000</v>
      </c>
      <c r="C11" s="18">
        <v>5335000000</v>
      </c>
      <c r="D11" s="18">
        <v>5600000000</v>
      </c>
      <c r="E11" s="18">
        <v>5477000000</v>
      </c>
      <c r="F11" s="6" t="s">
        <v>102</v>
      </c>
    </row>
    <row r="12" spans="1:6" x14ac:dyDescent="0.25">
      <c r="A12" t="s">
        <v>34</v>
      </c>
      <c r="B12" s="34">
        <v>1128000000</v>
      </c>
      <c r="C12" s="34">
        <v>1142000000</v>
      </c>
      <c r="D12" s="34">
        <v>1159000000</v>
      </c>
      <c r="E12" s="34">
        <v>1178000000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