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<sst xmlns="http://schemas.openxmlformats.org/spreadsheetml/2006/main" count="113" uniqueCount="101">
  <si>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TKO Group Holdings, Inc. (TKO)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</si>
  <si>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</si>
  <si>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</si>
  <si>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</si>
  <si>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</si>
  <si>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</si>
  <si>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</si>
  <si>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</si>
  <si>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</si>
  <si>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</si>
  <si>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</si>
  <si>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</si>
  <si>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</si>
  <si>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</si>
  <si>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</si>
  <si>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</si>
  <si>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</si>
  <si>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</si>
  <si>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</si>
  <si>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</si>
  <si>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</si>
  <si>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</si>
  <si>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</si>
  <si>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</si>
  <si>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</si>
  <si>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</si>
  <si>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</si>
  <si>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</si>
  <si>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</si>
  <si>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</si>
  <si>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</si>
  <si>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</si>
  <si>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</si>
  <si>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</si>
  <si>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</si>
  <si>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</si>
  <si>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</si>
  <si>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</si>
  <si>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</si>
  <si>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</si>
  <si>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</si>
  <si>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</si>
  <si>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</si>
  <si>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</si>
  <si>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</si>
  <si>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</si>
  <si>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</si>
  <si>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</si>
  <si>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</si>
  <si>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</si>
  <si>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</si>
  <si>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</si>
  <si>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</si>
  <si>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</si>
  <si>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</si>
  <si>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</si>
  <si>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</si>
  <si>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</si>
  <si>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</si>
  <si>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</si>
  <si>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</si>
  <si>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</si>
  <si>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</si>
  <si>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</si>
  <si>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</si>
  <si>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</si>
  <si>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</si>
  <si>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</si>
  <si>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</si>
  <si>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</si>
  <si>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</si>
  <si>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</si>
  <si>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</si>
  <si>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</si>
  <si>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</si>
  <si>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</si>
  <si>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</si>
  <si>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</si>
  <si>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</si>
  <si>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</si>
  <si>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</si>
  <si>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</si>
  <si>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</si>
  <si>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</si>
  <si>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</si>
  <si>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</si>
  <si>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</si>
  <si>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</si>
  <si>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</si>
  <si>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</si>
  <si>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</si>
  <si>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</si>
  <si>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</si>
  <si>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</si>
  <si>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</si>
  <si>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</si>
  <si>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</si>
  <si>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</si>
  <si>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2.28% of revenue against depreciation of 6.93%. A business cannot depreciate more than it invests indefinitely. Capex has been set to 6.93% of revenue so the forecast is not handed free growth. Override it if the reported figure is right.</t>
  </si>
  <si>
    <t>Current EV/EBITDA of 29.0x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</si>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</sst>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0.19583876460908817</v>
      </c>
    </row>
    <row r="8" spans="1:2" x14ac:dyDescent="0.25">
      <c r="A8" t="s">
        <v>6</v>
      </c>
      <c r="B8" s="6">
        <v>0.12160910217861476</v>
      </c>
    </row>
    <row r="9" spans="1:2" x14ac:dyDescent="0.25">
      <c r="A9" t="s">
        <v>7</v>
      </c>
      <c r="B9" s="6">
        <v>0.0843082787221705</v>
      </c>
    </row>
    <row r="10" spans="1:2" x14ac:dyDescent="0.25">
      <c r="A10" t="s">
        <v>8</v>
      </c>
      <c r="B10" s="6">
        <v>0.06933042270943414</v>
      </c>
    </row>
    <row r="11" spans="1:2" x14ac:dyDescent="0.25">
      <c r="A11" t="s">
        <v>9</v>
      </c>
      <c r="B11" s="6">
        <v>0.09616630905250716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0.08754709145153737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0.76081</v>
      </c>
      <c r="C19" s="8" t="s">
        <v>19</v>
      </c>
    </row>
    <row r="20" spans="1:2" x14ac:dyDescent="0.25">
      <c r="A20" t="s">
        <v>20</v>
      </c>
      <c r="B20" s="10">
        <f>B17+B19*B18</f>
        <v>0.09182455</v>
      </c>
    </row>
    <row r="21" spans="1:3" x14ac:dyDescent="0.25">
      <c r="A21" t="s">
        <v>21</v>
      </c>
      <c r="B21" s="6">
        <v>0.05673496071841969</v>
      </c>
      <c r="C21" s="8" t="s">
        <v>22</v>
      </c>
    </row>
    <row r="22" spans="1:2" x14ac:dyDescent="0.25">
      <c r="A22" t="s">
        <v>23</v>
      </c>
      <c r="B22" s="11">
        <v>35821182976</v>
      </c>
    </row>
    <row r="23" spans="1:2" x14ac:dyDescent="0.25">
      <c r="A23" t="s">
        <v>24</v>
      </c>
      <c r="B23" s="11">
        <v>4063035000</v>
      </c>
    </row>
    <row r="24" spans="1:2" x14ac:dyDescent="0.25">
      <c r="A24" t="s">
        <v>25</v>
      </c>
      <c r="B24" s="10">
        <f>B22/(B22+B23)</f>
        <v>0.8981292549738622</v>
      </c>
    </row>
    <row r="25" spans="1:2" x14ac:dyDescent="0.25">
      <c r="A25" t="s">
        <v>26</v>
      </c>
      <c r="B25" s="10">
        <f>1-B24</f>
        <v>0.1018707450261378</v>
      </c>
    </row>
    <row r="26" spans="1:2" x14ac:dyDescent="0.25">
      <c r="A26" t="s">
        <v>27</v>
      </c>
      <c r="B26" s="12">
        <f>B24*B20+B25*B21*(1-B8)</f>
        <v>0.08754709145153737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4735151000</v>
      </c>
      <c r="C29" s="8" t="s">
        <v>30</v>
      </c>
    </row>
    <row r="30" spans="1:2" x14ac:dyDescent="0.25">
      <c r="A30" t="s">
        <v>31</v>
      </c>
      <c r="B30" s="11">
        <v>3231935000</v>
      </c>
    </row>
    <row r="31" spans="1:2" x14ac:dyDescent="0.25">
      <c r="A31" t="s">
        <v>32</v>
      </c>
      <c r="B31" s="13">
        <v>194011072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7102726500</v>
      </c>
      <c r="C6" s="18">
        <f>B6*(1+C5)</f>
        <v>10654089750</v>
      </c>
      <c r="D6" s="18">
        <f>C6*(1+D5)</f>
        <v>15981134625</v>
      </c>
      <c r="E6" s="18">
        <f>D6*(1+E5)</f>
        <v>23971701937.5</v>
      </c>
      <c r="F6" s="18">
        <f>E6*(1+F5)</f>
        <v>35957552906.25</v>
      </c>
    </row>
    <row r="7" spans="1:6" x14ac:dyDescent="0.25">
      <c r="A7" t="s">
        <v>5</v>
      </c>
      <c r="B7" s="10">
        <f>Assumptions!B7</f>
        <v>0.19583876460908817</v>
      </c>
      <c r="C7" s="10">
        <f>Assumptions!B7</f>
        <v>0.19583876460908817</v>
      </c>
      <c r="D7" s="10">
        <f>Assumptions!B7</f>
        <v>0.19583876460908817</v>
      </c>
      <c r="E7" s="10">
        <f>Assumptions!B7</f>
        <v>0.19583876460908817</v>
      </c>
      <c r="F7" s="10">
        <f>Assumptions!B7</f>
        <v>0.19583876460908817</v>
      </c>
    </row>
    <row r="8" spans="1:6" x14ac:dyDescent="0.25">
      <c r="A8" t="s">
        <v>44</v>
      </c>
      <c r="B8" s="18">
        <f>B6*B7</f>
        <v>1390989183.1162326</v>
      </c>
      <c r="C8" s="18">
        <f>C6*C7</f>
        <v>2086483774.674349</v>
      </c>
      <c r="D8" s="18">
        <f>D6*D7</f>
        <v>3129725662.0115237</v>
      </c>
      <c r="E8" s="18">
        <f>E6*E7</f>
        <v>4694588493.017285</v>
      </c>
      <c r="F8" s="18">
        <f>F6*F7</f>
        <v>7041882739.525928</v>
      </c>
    </row>
    <row r="9" spans="1:6" x14ac:dyDescent="0.25">
      <c r="A9" t="s">
        <v>45</v>
      </c>
      <c r="B9" s="18">
        <f>B8*(1-Assumptions!B8)</f>
        <v>1221832237.4173028</v>
      </c>
      <c r="C9" s="18">
        <f>C8*(1-Assumptions!B8)</f>
        <v>1832748356.1259544</v>
      </c>
      <c r="D9" s="18">
        <f>D8*(1-Assumptions!B8)</f>
        <v>2749122534.1889315</v>
      </c>
      <c r="E9" s="18">
        <f>E8*(1-Assumptions!B8)</f>
        <v>4123683801.283397</v>
      </c>
      <c r="F9" s="18">
        <f>F8*(1-Assumptions!B8)</f>
        <v>6185525701.925096</v>
      </c>
    </row>
    <row r="10" spans="1:6" x14ac:dyDescent="0.25">
      <c r="A10" t="s">
        <v>46</v>
      </c>
      <c r="B10" s="18">
        <f>B6*Assumptions!B9</f>
        <v>598818645.4493465</v>
      </c>
      <c r="C10" s="18">
        <f>C6*Assumptions!B9</f>
        <v>898227968.1740198</v>
      </c>
      <c r="D10" s="18">
        <f>D6*Assumptions!B9</f>
        <v>1347341952.2610297</v>
      </c>
      <c r="E10" s="18">
        <f>E6*Assumptions!B9</f>
        <v>2021012928.3915448</v>
      </c>
      <c r="F10" s="18">
        <f>F6*Assumptions!B9</f>
        <v>3031519392.587317</v>
      </c>
    </row>
    <row r="11" spans="1:6" x14ac:dyDescent="0.25">
      <c r="A11" t="s">
        <v>47</v>
      </c>
      <c r="B11" s="18">
        <f>-B6*Assumptions!B10</f>
        <v>-492435030.63449967</v>
      </c>
      <c r="C11" s="18">
        <f>-C6*Assumptions!B10</f>
        <v>-738652545.9517494</v>
      </c>
      <c r="D11" s="18">
        <f>-D6*Assumptions!B10</f>
        <v>-1107978818.9276242</v>
      </c>
      <c r="E11" s="18">
        <f>-E6*Assumptions!B10</f>
        <v>-1661968228.3914363</v>
      </c>
      <c r="F11" s="18">
        <f>-F6*Assumptions!B10</f>
        <v>-2492952342.5871544</v>
      </c>
    </row>
    <row r="12" spans="1:6" x14ac:dyDescent="0.25">
      <c r="A12" t="s">
        <v>48</v>
      </c>
      <c r="B12" s="18">
        <f>-(B6-Assumptions!B29)*Assumptions!B11</f>
        <v>-227680997.23814416</v>
      </c>
      <c r="C12" s="18">
        <f>-(C6-B6)*Assumptions!B11</f>
        <v>-341521495.85721624</v>
      </c>
      <c r="D12" s="18">
        <f>-(D6-C6)*Assumptions!B11</f>
        <v>-512282243.78582436</v>
      </c>
      <c r="E12" s="18">
        <f>-(E6-D6)*Assumptions!B11</f>
        <v>-768423365.6787366</v>
      </c>
      <c r="F12" s="18">
        <f>-(F6-E6)*Assumptions!B11</f>
        <v>-1152635048.5181048</v>
      </c>
    </row>
    <row r="13" spans="1:6" x14ac:dyDescent="0.25">
      <c r="A13" s="19" t="s">
        <v>49</v>
      </c>
      <c r="B13" s="20">
        <f>B9+B10+B11+B12</f>
        <v>1100534854.9940054</v>
      </c>
      <c r="C13" s="20">
        <f>C9+C10+C11+C12</f>
        <v>1650802282.4910088</v>
      </c>
      <c r="D13" s="20">
        <f>D9+D10+D11+D12</f>
        <v>2476203423.7365127</v>
      </c>
      <c r="E13" s="20">
        <f>E9+E10+E11+E12</f>
        <v>3714305135.6047688</v>
      </c>
      <c r="F13" s="20">
        <f>F9+F10+F11+F12</f>
        <v>5571457703.407154</v>
      </c>
    </row>
    <row r="14" spans="1:6" x14ac:dyDescent="0.25">
      <c r="A14" t="s">
        <v>50</v>
      </c>
      <c r="B14" s="21">
        <f>1/(1+Assumptions!$B$26)^(1-0.5*Assumptions!$B$32)</f>
        <v>0.9589058416930033</v>
      </c>
      <c r="C14" s="21">
        <f>1/(1+Assumptions!$B$26)^(2-0.5*Assumptions!$B$32)</f>
        <v>0.8817143176882227</v>
      </c>
      <c r="D14" s="21">
        <f>1/(1+Assumptions!$B$26)^(3-0.5*Assumptions!$B$32)</f>
        <v>0.8107366794677443</v>
      </c>
      <c r="E14" s="21">
        <f>1/(1+Assumptions!$B$26)^(4-0.5*Assumptions!$B$32)</f>
        <v>0.7454727117937145</v>
      </c>
      <c r="F14" s="21">
        <f>1/(1+Assumptions!$B$26)^(5-0.5*Assumptions!$B$32)</f>
        <v>0.6854624665482212</v>
      </c>
    </row>
    <row r="15" spans="1:6" x14ac:dyDescent="0.25">
      <c r="A15" s="19" t="s">
        <v>51</v>
      </c>
      <c r="B15" s="20">
        <f>B13*B14</f>
        <v>1055309301.4405141</v>
      </c>
      <c r="C15" s="20">
        <f>C13*C14</f>
        <v>1455536008.1447206</v>
      </c>
      <c r="D15" s="20">
        <f>D13*D14</f>
        <v>2007548941.4468</v>
      </c>
      <c r="E15" s="20">
        <f>E13*E14</f>
        <v>2768913121.8686075</v>
      </c>
      <c r="F15" s="20">
        <f>F13*F14</f>
        <v>3819025139.6465554</v>
      </c>
    </row>
    <row r="17" spans="1:2" x14ac:dyDescent="0.25">
      <c r="A17" s="22" t="s">
        <v>52</v>
      </c>
      <c r="B17" s="23">
        <f>SUM(B15:F15)</f>
        <v>11106332512.547197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5571457703.407154</v>
      </c>
    </row>
    <row r="5" spans="1:2" x14ac:dyDescent="0.25">
      <c r="A5" t="s">
        <v>56</v>
      </c>
      <c r="B5" s="18">
        <f>IF(Assumptions!$B$33=0,B4,B4-Forecast!F11-Forecast!F10-Forecast!F12)</f>
        <v>6658598096.511753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0.28556060042084913</v>
      </c>
    </row>
    <row r="7" spans="1:2" x14ac:dyDescent="0.25">
      <c r="A7" t="s">
        <v>58</v>
      </c>
      <c r="B7" s="18">
        <f>-MAX(Forecast!F9,0)*B6</f>
        <v>-1901433270.4010193</v>
      </c>
    </row>
    <row r="8" spans="1:2" x14ac:dyDescent="0.25">
      <c r="A8" t="s">
        <v>59</v>
      </c>
      <c r="B8" s="18">
        <f>IF(OR(Assumptions!$B$33=0,Assumptions!B12&lt;=0),B5,MAX(B5+B7,0))</f>
        <v>4757164826.110734</v>
      </c>
    </row>
    <row r="9" spans="1:2" x14ac:dyDescent="0.25">
      <c r="A9" t="s">
        <v>60</v>
      </c>
      <c r="B9" s="18">
        <f>B8*(1+Assumptions!B12)/(Assumptions!B26-Assumptions!B12)</f>
        <v>77958764086.4418</v>
      </c>
    </row>
    <row r="10" spans="1:2" x14ac:dyDescent="0.25">
      <c r="A10" t="s">
        <v>61</v>
      </c>
      <c r="B10" s="18">
        <f>B9/(1+Assumptions!B26)^(5-0.5*Assumptions!B32)</f>
        <v>53437806719.74328</v>
      </c>
    </row>
    <row r="11" spans="1:2" x14ac:dyDescent="0.25">
      <c r="A11" t="s">
        <v>62</v>
      </c>
      <c r="B11" s="18">
        <f>Forecast!B17+B10</f>
        <v>64544139232.290474</v>
      </c>
    </row>
    <row r="12" spans="1:2" x14ac:dyDescent="0.25">
      <c r="A12" t="s">
        <v>63</v>
      </c>
      <c r="B12" s="18">
        <f>-Assumptions!B30</f>
        <v>-3231935000</v>
      </c>
    </row>
    <row r="13" spans="1:2" x14ac:dyDescent="0.25">
      <c r="A13" t="s">
        <v>64</v>
      </c>
      <c r="B13" s="18">
        <f>B11+B12</f>
        <v>61312204232.290474</v>
      </c>
    </row>
    <row r="14" spans="1:2" x14ac:dyDescent="0.25">
      <c r="A14" s="19" t="s">
        <v>65</v>
      </c>
      <c r="B14" s="24">
        <f>B13/Assumptions!B31</f>
        <v>316.0242536688343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10073402132.113245</v>
      </c>
    </row>
    <row r="18" spans="1:2" x14ac:dyDescent="0.25">
      <c r="A18" t="s">
        <v>60</v>
      </c>
      <c r="B18" s="18">
        <f>B17*Assumptions!B13</f>
        <v>201468042642.2649</v>
      </c>
    </row>
    <row r="19" spans="1:2" x14ac:dyDescent="0.25">
      <c r="A19" t="s">
        <v>61</v>
      </c>
      <c r="B19" s="18">
        <f>B18/(1+Assumptions!B26)^(5-0.5*Assumptions!B32)</f>
        <v>138098781440.2091</v>
      </c>
    </row>
    <row r="20" spans="1:2" x14ac:dyDescent="0.25">
      <c r="A20" t="s">
        <v>62</v>
      </c>
      <c r="B20" s="18">
        <f>Forecast!B17+B19</f>
        <v>149205113952.75632</v>
      </c>
    </row>
    <row r="21" spans="1:2" x14ac:dyDescent="0.25">
      <c r="A21" t="s">
        <v>63</v>
      </c>
      <c r="B21" s="18">
        <f>-Assumptions!B30</f>
        <v>-3231935000</v>
      </c>
    </row>
    <row r="22" spans="1:2" x14ac:dyDescent="0.25">
      <c r="A22" t="s">
        <v>64</v>
      </c>
      <c r="B22" s="18">
        <f>B20+B21</f>
        <v>145973178952.75632</v>
      </c>
    </row>
    <row r="23" spans="1:2" x14ac:dyDescent="0.25">
      <c r="A23" s="19" t="s">
        <v>65</v>
      </c>
      <c r="B23" s="25">
        <f>B22/Assumptions!B31</f>
        <v>752.3961258909817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189.26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316.0242536688343</v>
      </c>
    </row>
    <row r="29" spans="1:2" x14ac:dyDescent="0.25">
      <c r="A29" s="19" t="s">
        <v>73</v>
      </c>
      <c r="B29" s="12">
        <f>B28/B26-1</f>
        <v>0.6697889341056449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0.067547</v>
      </c>
      <c r="B5" s="31">
        <v>438.41284182583587</v>
      </c>
      <c r="C5" s="31">
        <v>445.159625358539</v>
      </c>
      <c r="D5" s="31">
        <v>453.0881294643986</v>
      </c>
      <c r="E5" s="31">
        <v>462.6704506783538</v>
      </c>
      <c r="F5" s="31">
        <v>474.6687869486465</v>
      </c>
    </row>
    <row r="6" spans="1:6" x14ac:dyDescent="0.25">
      <c r="A6" s="30">
        <v>0.077547</v>
      </c>
      <c r="B6" s="31">
        <v>363.25555568588925</v>
      </c>
      <c r="C6" s="31">
        <v>364.8367975007923</v>
      </c>
      <c r="D6" s="31">
        <v>366.4180393156951</v>
      </c>
      <c r="E6" s="31">
        <v>367.9992811305981</v>
      </c>
      <c r="F6" s="31">
        <v>369.580522945501</v>
      </c>
    </row>
    <row r="7" spans="1:6" x14ac:dyDescent="0.25">
      <c r="A7" s="30">
        <v>0.087547</v>
      </c>
      <c r="B7" s="31">
        <v>313.33746760013133</v>
      </c>
      <c r="C7" s="31">
        <v>314.68106410806007</v>
      </c>
      <c r="D7" s="32">
        <v>316.0246606159887</v>
      </c>
      <c r="E7" s="31">
        <v>317.3682571239174</v>
      </c>
      <c r="F7" s="31">
        <v>318.71185363184605</v>
      </c>
    </row>
    <row r="8" spans="1:6" x14ac:dyDescent="0.25">
      <c r="A8" s="30">
        <v>0.097547</v>
      </c>
      <c r="B8" s="31">
        <v>273.89341487145145</v>
      </c>
      <c r="C8" s="31">
        <v>275.0506145445467</v>
      </c>
      <c r="D8" s="31">
        <v>276.2078142176419</v>
      </c>
      <c r="E8" s="31">
        <v>277.36501389073715</v>
      </c>
      <c r="F8" s="31">
        <v>278.5222135638323</v>
      </c>
    </row>
    <row r="9" spans="1:6" x14ac:dyDescent="0.25">
      <c r="A9" s="30">
        <v>0.107547</v>
      </c>
      <c r="B9" s="31">
        <v>241.9908279975114</v>
      </c>
      <c r="C9" s="31">
        <v>242.99845140589733</v>
      </c>
      <c r="D9" s="31">
        <v>244.0060748142832</v>
      </c>
      <c r="E9" s="31">
        <v>245.01369822266918</v>
      </c>
      <c r="F9" s="31">
        <v>246.02132163105506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4735151000</v>
      </c>
      <c r="C5" s="18">
        <v>4884241000</v>
      </c>
      <c r="D5" s="18">
        <v>3224796000</v>
      </c>
      <c r="E5" s="18">
        <v>1140147000</v>
      </c>
      <c r="F5" s="8" t="s">
        <v>84</v>
      </c>
    </row>
    <row r="6" spans="1:6" x14ac:dyDescent="0.25">
      <c r="A6" t="s">
        <v>44</v>
      </c>
      <c r="B6" s="18">
        <v>835015000</v>
      </c>
      <c r="C6" s="18">
        <v>30946000</v>
      </c>
      <c r="D6" s="18">
        <v>397309000</v>
      </c>
      <c r="E6" s="18">
        <v>544387000</v>
      </c>
      <c r="F6" s="8" t="s">
        <v>85</v>
      </c>
    </row>
    <row r="7" spans="1:6" x14ac:dyDescent="0.25">
      <c r="A7" t="s">
        <v>86</v>
      </c>
      <c r="B7" s="18">
        <v>511247000</v>
      </c>
      <c r="C7" s="18">
        <v>485447000</v>
      </c>
      <c r="D7" s="18">
        <v>249023000</v>
      </c>
      <c r="E7" s="18">
        <v>60032000</v>
      </c>
      <c r="F7" s="8" t="s">
        <v>87</v>
      </c>
    </row>
    <row r="8" spans="1:6" x14ac:dyDescent="0.25">
      <c r="A8" t="s">
        <v>88</v>
      </c>
      <c r="B8" s="18">
        <v>126953000</v>
      </c>
      <c r="C8" s="18">
        <v>118818000</v>
      </c>
      <c r="D8" s="18">
        <v>93753000</v>
      </c>
      <c r="E8" s="18">
        <v>12404000</v>
      </c>
      <c r="F8" s="8" t="s">
        <v>89</v>
      </c>
    </row>
    <row r="9" spans="1:6" x14ac:dyDescent="0.25">
      <c r="A9" t="s">
        <v>90</v>
      </c>
      <c r="B9" s="18">
        <v>-52176000</v>
      </c>
      <c r="C9" s="18">
        <v>-183175000</v>
      </c>
      <c r="D9" s="18">
        <v>200473000</v>
      </c>
      <c r="E9" s="18">
        <v>2079000</v>
      </c>
      <c r="F9" s="8" t="s">
        <v>91</v>
      </c>
    </row>
    <row r="10" spans="1:6" x14ac:dyDescent="0.25">
      <c r="A10" t="s">
        <v>92</v>
      </c>
      <c r="B10" s="18">
        <v>4063035000</v>
      </c>
      <c r="C10" s="18">
        <v>3083317000</v>
      </c>
      <c r="D10" s="18">
        <v>3026895000</v>
      </c>
      <c r="E10" s="18">
        <v>2783385000</v>
      </c>
      <c r="F10" s="8" t="s">
        <v>93</v>
      </c>
    </row>
    <row r="11" spans="1:6" x14ac:dyDescent="0.25">
      <c r="A11" t="s">
        <v>94</v>
      </c>
      <c r="B11" s="18">
        <v>831100000</v>
      </c>
      <c r="C11" s="18">
        <v>619787000</v>
      </c>
      <c r="D11" s="18">
        <v>235839000</v>
      </c>
      <c r="E11" s="18">
        <v>180574000</v>
      </c>
      <c r="F11" s="8" t="s">
        <v>95</v>
      </c>
    </row>
    <row r="12" spans="1:6" x14ac:dyDescent="0.25">
      <c r="A12" t="s">
        <v>32</v>
      </c>
      <c r="B12" s="34">
        <v>194011072</v>
      </c>
      <c r="C12" s="34">
        <v>171874540</v>
      </c>
      <c r="D12" s="34">
        <v>82808019</v>
      </c>
      <c r="E12" s="34">
        <v>83162446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