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<sst xmlns="http://schemas.openxmlformats.org/spreadsheetml/2006/main" count="121" uniqueCount="108">
  <si>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TKO Group Holdings, Inc. (TKO)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</si>
  <si>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</si>
  <si>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</si>
  <si>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</si>
  <si>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</si>
  <si>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</si>
  <si>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</si>
  <si>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</si>
  <si>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</si>
  <si>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</si>
  <si>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</si>
  <si>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</si>
  <si>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</si>
  <si>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</si>
  <si>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</si>
  <si>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</si>
  <si>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</si>
  <si>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</si>
  <si>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</si>
  <si>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</si>
  <si>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</si>
  <si>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</si>
  <si>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</si>
  <si>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</si>
  <si>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4.1x interest cover. Book interest / average debt was lower, at 5.7%.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</si>
  <si>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</si>
  <si>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</si>
  <si>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</si>
  <si>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</si>
  <si>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</si>
  <si>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</si>
  <si>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</si>
  <si>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</si>
  <si>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</si>
  <si>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</si>
  <si>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</si>
  <si>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</si>
  <si>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</si>
  <si>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</si>
  <si>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</si>
  <si>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</si>
  <si>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</si>
  <si>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</si>
  <si>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</si>
  <si>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</si>
  <si>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</si>
  <si>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</si>
  <si>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</si>
  <si>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</si>
  <si>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</si>
  <si>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</si>
  <si>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</si>
  <si>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</si>
  <si>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</si>
  <si>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</si>
  <si>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</si>
  <si>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</si>
  <si>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</si>
  <si>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</si>
  <si>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</si>
  <si>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</si>
  <si>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</si>
  <si>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</si>
  <si>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</si>
  <si>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</si>
  <si>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</si>
  <si>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</si>
  <si>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</si>
  <si>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</si>
  <si>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</si>
  <si>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</si>
  <si>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</si>
  <si>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</si>
  <si>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</si>
  <si>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</si>
  <si>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</si>
  <si>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</si>
  <si>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</si>
  <si>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</si>
  <si>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</si>
  <si>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</si>
  <si>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</si>
  <si>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</si>
  <si>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</si>
  <si>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</si>
  <si>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</si>
  <si>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</si>
  <si>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</si>
  <si>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</si>
  <si>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</si>
  <si>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</si>
  <si>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</si>
  <si>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</si>
  <si>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</si>
  <si>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</si>
  <si>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</si>
  <si>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</si>
  <si>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</si>
  <si>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</si>
  <si>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</si>
  <si>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</si>
  <si>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</si>
  <si>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</si>
  <si>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</si>
  <si>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</si>
  <si>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2.28% of revenue against depreciation of 6.93%. A business cannot depreciate more than it invests indefinitely. Capex has been set to 6.93% of revenue so the forecast is not handed free growth. Override it if the reported figure is right.</t>
  </si>
  <si>
    <t>Current EV/EBITDA of 27.8x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</si>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</sst>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0.23022811521744502</v>
      </c>
    </row>
    <row r="7" spans="1:2" x14ac:dyDescent="0.25">
      <c r="A7" t="s">
        <v>4</v>
      </c>
      <c r="B7" s="5">
        <v>0.19583876460908817</v>
      </c>
    </row>
    <row r="8" spans="1:2" x14ac:dyDescent="0.25">
      <c r="A8" t="s">
        <v>5</v>
      </c>
      <c r="B8" s="5">
        <v>0.12160910217861476</v>
      </c>
    </row>
    <row r="9" spans="1:2" x14ac:dyDescent="0.25">
      <c r="A9" t="s">
        <v>6</v>
      </c>
      <c r="B9" s="5">
        <v>0.0843082787221705</v>
      </c>
    </row>
    <row r="10" spans="1:3" x14ac:dyDescent="0.25">
      <c r="A10" t="s">
        <v>7</v>
      </c>
      <c r="B10" s="5">
        <v>0.06933042270943414</v>
      </c>
      <c r="C10" s="6" t="s">
        <v>8</v>
      </c>
    </row>
    <row r="11" spans="1:2" x14ac:dyDescent="0.25">
      <c r="A11" t="s">
        <v>9</v>
      </c>
      <c r="B11" s="5">
        <v>0.03771656305558062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0.07914408948818569</v>
      </c>
      <c r="C14" s="6" t="s">
        <v>13</v>
      </c>
    </row>
    <row r="15" spans="1:3" x14ac:dyDescent="0.25">
      <c r="A15" t="s">
        <v>14</v>
      </c>
      <c r="B15" s="5">
        <v>0.06933042270943414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0.7936399999999999</v>
      </c>
      <c r="C19" s="6" t="s">
        <v>21</v>
      </c>
    </row>
    <row r="20" spans="1:2" x14ac:dyDescent="0.25">
      <c r="A20" t="s">
        <v>22</v>
      </c>
      <c r="B20" s="9">
        <f>B17+B19*B18</f>
        <v>0.08251097199999999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34197250048</v>
      </c>
    </row>
    <row r="23" spans="1:2" x14ac:dyDescent="0.25">
      <c r="A23" t="s">
        <v>26</v>
      </c>
      <c r="B23" s="10">
        <v>4063035000</v>
      </c>
    </row>
    <row r="24" spans="1:2" x14ac:dyDescent="0.25">
      <c r="A24" t="s">
        <v>27</v>
      </c>
      <c r="B24" s="9">
        <f>B22/(B22+B23)</f>
        <v>0.8938054174216773</v>
      </c>
    </row>
    <row r="25" spans="1:2" x14ac:dyDescent="0.25">
      <c r="A25" t="s">
        <v>28</v>
      </c>
      <c r="B25" s="9">
        <f>1-B24</f>
        <v>0.1061945825783227</v>
      </c>
    </row>
    <row r="26" spans="1:2" x14ac:dyDescent="0.25">
      <c r="A26" t="s">
        <v>29</v>
      </c>
      <c r="B26" s="11">
        <f>B24*B20+B25*B21*(1-B8)</f>
        <v>0.07914408948818569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4735151000</v>
      </c>
      <c r="C29" s="6" t="s">
        <v>32</v>
      </c>
    </row>
    <row r="30" spans="1:2" x14ac:dyDescent="0.25">
      <c r="A30" t="s">
        <v>33</v>
      </c>
      <c r="B30" s="10">
        <v>3231935000</v>
      </c>
    </row>
    <row r="31" spans="1:2" x14ac:dyDescent="0.25">
      <c r="A31" t="s">
        <v>34</v>
      </c>
      <c r="B31" s="12">
        <v>194011072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0.23022811521744502</v>
      </c>
      <c r="C5" s="5">
        <v>0.009899669149100898</v>
      </c>
      <c r="D5" s="5">
        <v>0.011787210505463285</v>
      </c>
      <c r="E5" s="5">
        <v>0.013674751861825674</v>
      </c>
      <c r="F5" s="5">
        <v>0.015562293218188063</v>
      </c>
      <c r="G5" s="5">
        <v>0.01744983457455045</v>
      </c>
      <c r="H5" s="5">
        <v>0.019337375930912837</v>
      </c>
      <c r="I5" s="5">
        <v>0.021224917287275227</v>
      </c>
      <c r="J5" s="5">
        <v>0.023112458643637614</v>
      </c>
      <c r="K5" s="5">
        <v>0.025</v>
      </c>
    </row>
    <row r="6" spans="1:11" x14ac:dyDescent="0.25">
      <c r="A6" t="s">
        <v>50</v>
      </c>
      <c r="B6" s="18">
        <f>Assumptions!B29*(1+B5)</f>
        <v>5825315890</v>
      </c>
      <c r="C6" s="18">
        <f>B6*(1+C5)</f>
        <v>5882984590</v>
      </c>
      <c r="D6" s="18">
        <f>C6*(1+D5)</f>
        <v>5952328567.762727</v>
      </c>
      <c r="E6" s="18">
        <f>D6*(1+E5)</f>
        <v>6033725183.926938</v>
      </c>
      <c r="F6" s="18">
        <f>E6*(1+F5)</f>
        <v>6127623784.437175</v>
      </c>
      <c r="G6" s="18">
        <f>F6*(1+G5)</f>
        <v>6234549805.810684</v>
      </c>
      <c r="H6" s="18">
        <f>G6*(1+H5)</f>
        <v>6355109639.165645</v>
      </c>
      <c r="I6" s="18">
        <f>H6*(1+I5)</f>
        <v>6489996315.6085005</v>
      </c>
      <c r="J6" s="18">
        <f>I6*(1+J5)</f>
        <v>6639996087.050362</v>
      </c>
      <c r="K6" s="18">
        <f>J6*(1+K5)</f>
        <v>6805995989.22662</v>
      </c>
    </row>
    <row r="7" spans="1:11" x14ac:dyDescent="0.25">
      <c r="A7" t="s">
        <v>4</v>
      </c>
      <c r="B7" s="9">
        <f>Assumptions!B7</f>
        <v>0.19583876460908817</v>
      </c>
      <c r="C7" s="9">
        <f>Assumptions!B7</f>
        <v>0.19583876460908817</v>
      </c>
      <c r="D7" s="9">
        <f>Assumptions!B7</f>
        <v>0.19583876460908817</v>
      </c>
      <c r="E7" s="9">
        <f>Assumptions!B7</f>
        <v>0.19583876460908817</v>
      </c>
      <c r="F7" s="9">
        <f>Assumptions!B7</f>
        <v>0.19583876460908817</v>
      </c>
      <c r="G7" s="9">
        <f>Assumptions!B7</f>
        <v>0.19583876460908817</v>
      </c>
      <c r="H7" s="9">
        <f>Assumptions!B7</f>
        <v>0.19583876460908817</v>
      </c>
      <c r="I7" s="9">
        <f>Assumptions!B7</f>
        <v>0.19583876460908817</v>
      </c>
      <c r="J7" s="9">
        <f>Assumptions!B7</f>
        <v>0.19583876460908817</v>
      </c>
      <c r="K7" s="9">
        <f>Assumptions!B7</f>
        <v>0.19583876460908817</v>
      </c>
    </row>
    <row r="8" spans="1:11" x14ac:dyDescent="0.25">
      <c r="A8" t="s">
        <v>51</v>
      </c>
      <c r="B8" s="18">
        <f>B6*B7</f>
        <v>1140822667.355291</v>
      </c>
      <c r="C8" s="18">
        <f>C6*C7</f>
        <v>1152116434.3199031</v>
      </c>
      <c r="D8" s="18">
        <f>D6*D7</f>
        <v>1165696673.2580357</v>
      </c>
      <c r="E8" s="18">
        <f>E6*E7</f>
        <v>1181637286.010995</v>
      </c>
      <c r="F8" s="18">
        <f>F6*F7</f>
        <v>1200026271.9334419</v>
      </c>
      <c r="G8" s="18">
        <f>G6*G7</f>
        <v>1220966531.863795</v>
      </c>
      <c r="H8" s="18">
        <f>H6*H7</f>
        <v>1244576820.689508</v>
      </c>
      <c r="I8" s="18">
        <f>I6*I7</f>
        <v>1270992860.7663026</v>
      </c>
      <c r="J8" s="18">
        <f>J6*J7</f>
        <v>1300368630.6971223</v>
      </c>
      <c r="K8" s="18">
        <f>K6*K7</f>
        <v>1332877846.4645503</v>
      </c>
    </row>
    <row r="9" spans="1:11" x14ac:dyDescent="0.25">
      <c r="A9" t="s">
        <v>52</v>
      </c>
      <c r="B9" s="18">
        <f>B8*(1-Assumptions!B8)</f>
        <v>1002088247.0332015</v>
      </c>
      <c r="C9" s="18">
        <f>C8*(1-Assumptions!B8)</f>
        <v>1012008589.1370327</v>
      </c>
      <c r="D9" s="18">
        <f>D8*(1-Assumptions!B8)</f>
        <v>1023937347.410528</v>
      </c>
      <c r="E9" s="18">
        <f>E8*(1-Assumptions!B8)</f>
        <v>1037939436.5584228</v>
      </c>
      <c r="F9" s="18">
        <f>F8*(1-Assumptions!B8)</f>
        <v>1054092154.4128658</v>
      </c>
      <c r="G9" s="18">
        <f>G8*(1-Assumptions!B8)</f>
        <v>1072485888.1337019</v>
      </c>
      <c r="H9" s="18">
        <f>H8*(1-Assumptions!B8)</f>
        <v>1093224950.9331422</v>
      </c>
      <c r="I9" s="18">
        <f>I8*(1-Assumptions!B8)</f>
        <v>1116428560.0930834</v>
      </c>
      <c r="J9" s="18">
        <f>J8*(1-Assumptions!B8)</f>
        <v>1142231969.0168107</v>
      </c>
      <c r="K9" s="18">
        <f>K8*(1-Assumptions!B8)</f>
        <v>1170787768.2422307</v>
      </c>
    </row>
    <row r="10" spans="1:11" x14ac:dyDescent="0.25">
      <c r="A10" t="s">
        <v>53</v>
      </c>
      <c r="B10" s="18">
        <f>B6*Assumptions!B9</f>
        <v>491122355.6988087</v>
      </c>
      <c r="C10" s="18">
        <f>C6*Assumptions!B9</f>
        <v>495984304.531954</v>
      </c>
      <c r="D10" s="18">
        <f>D6*Assumptions!B9</f>
        <v>501830575.9368779</v>
      </c>
      <c r="E10" s="18">
        <f>E6*Assumptions!B9</f>
        <v>508692984.5394918</v>
      </c>
      <c r="F10" s="18">
        <f>F6*Assumptions!B9</f>
        <v>516609413.92293054</v>
      </c>
      <c r="G10" s="18">
        <f>G6*Assumptions!B9</f>
        <v>525624162.73554116</v>
      </c>
      <c r="H10" s="18">
        <f>H6*Assumptions!B9</f>
        <v>535788354.76872957</v>
      </c>
      <c r="I10" s="18">
        <f>I6*Assumptions!B9</f>
        <v>547160418.2821811</v>
      </c>
      <c r="J10" s="18">
        <f>J6*Assumptions!B9</f>
        <v>559806640.8211634</v>
      </c>
      <c r="K10" s="18">
        <f>K6*Assumptions!B9</f>
        <v>573801806.8416924</v>
      </c>
    </row>
    <row r="11" spans="1:11" x14ac:dyDescent="0.25">
      <c r="A11" t="s">
        <v>54</v>
      </c>
      <c r="B11" s="18">
        <f>-B6*B19</f>
        <v>-403871613.06968355</v>
      </c>
      <c r="C11" s="18">
        <f>-C6*C19</f>
        <v>-446105539.37434185</v>
      </c>
      <c r="D11" s="18">
        <f>-D6*D19</f>
        <v>-490050302.8407704</v>
      </c>
      <c r="E11" s="18">
        <f>-E6*E19</f>
        <v>-535967069.9407893</v>
      </c>
      <c r="F11" s="18">
        <f>-F6*F19</f>
        <v>-584133679.7915307</v>
      </c>
      <c r="G11" s="18">
        <f>-G6*G19</f>
        <v>-634847401.4816766</v>
      </c>
      <c r="H11" s="18">
        <f>-H6*H19</f>
        <v>-688427933.6818383</v>
      </c>
      <c r="I11" s="18">
        <f>-I6*I19</f>
        <v>-745220688.2472646</v>
      </c>
      <c r="J11" s="18">
        <f>-J6*J19</f>
        <v>-805600404.1677015</v>
      </c>
      <c r="K11" s="18">
        <f>-K6*K19</f>
        <v>-869975143.6944064</v>
      </c>
    </row>
    <row r="12" spans="1:11" x14ac:dyDescent="0.25">
      <c r="A12" t="s">
        <v>55</v>
      </c>
      <c r="B12" s="18">
        <f>-(B6-Assumptions!B29)*Assumptions!B11</f>
        <v>-41117272.81466511</v>
      </c>
      <c r="C12" s="18">
        <f>-(C6-B6)*Assumptions!B11</f>
        <v>-2175065.159883362</v>
      </c>
      <c r="D12" s="18">
        <f>-(D6-C6)*Assumptions!B11</f>
        <v>-2615416.5098126647</v>
      </c>
      <c r="E12" s="18">
        <f>-(E6-D6)*Assumptions!B11</f>
        <v>-3070000.606068367</v>
      </c>
      <c r="F12" s="18">
        <f>-(F6-E6)*Assumptions!B11</f>
        <v>-3541532.4869751185</v>
      </c>
      <c r="G12" s="18">
        <f>-(G6-F6)*Assumptions!B11</f>
        <v>-4032882.0274163284</v>
      </c>
      <c r="H12" s="18">
        <f>-(H6-G6)*Assumptions!B11</f>
        <v>-4547102.556702657</v>
      </c>
      <c r="I12" s="18">
        <f>-(I6-H6)*Assumptions!B11</f>
        <v>-5087461.837414673</v>
      </c>
      <c r="J12" s="18">
        <f>-(J6-I6)*Assumptions!B11</f>
        <v>-5657475.837909637</v>
      </c>
      <c r="K12" s="18">
        <f>-(K6-J6)*Assumptions!B11</f>
        <v>-6260945.777651052</v>
      </c>
    </row>
    <row r="13" spans="1:11" x14ac:dyDescent="0.25">
      <c r="A13" s="19" t="s">
        <v>56</v>
      </c>
      <c r="B13" s="20">
        <f>B9+B10+B11+B12</f>
        <v>1048221716.8476615</v>
      </c>
      <c r="C13" s="20">
        <f>C9+C10+C11+C12</f>
        <v>1059712289.1347616</v>
      </c>
      <c r="D13" s="20">
        <f>D9+D10+D11+D12</f>
        <v>1033102203.9968227</v>
      </c>
      <c r="E13" s="20">
        <f>E9+E10+E11+E12</f>
        <v>1007595350.5510571</v>
      </c>
      <c r="F13" s="20">
        <f>F9+F10+F11+F12</f>
        <v>983026356.0572906</v>
      </c>
      <c r="G13" s="20">
        <f>G9+G10+G11+G12</f>
        <v>959229767.3601502</v>
      </c>
      <c r="H13" s="20">
        <f>H9+H10+H11+H12</f>
        <v>936038269.463331</v>
      </c>
      <c r="I13" s="20">
        <f>I9+I10+I11+I12</f>
        <v>913280828.2905854</v>
      </c>
      <c r="J13" s="20">
        <f>J9+J10+J11+J12</f>
        <v>890780729.832363</v>
      </c>
      <c r="K13" s="20">
        <f>K9+K10+K11+K12</f>
        <v>868353485.6118656</v>
      </c>
    </row>
    <row r="14" spans="1:11" x14ac:dyDescent="0.25">
      <c r="A14" t="s">
        <v>57</v>
      </c>
      <c r="B14" s="21">
        <f>1/(1+Assumptions!$B$26)^(1-0.5*Assumptions!$B$32)</f>
        <v>0.9626319718581478</v>
      </c>
      <c r="C14" s="21">
        <f>1/(1+Assumptions!$B$26)^(2-0.5*Assumptions!$B$32)</f>
        <v>0.8920328445802849</v>
      </c>
      <c r="D14" s="21">
        <f>1/(1+Assumptions!$B$26)^(3-0.5*Assumptions!$B$32)</f>
        <v>0.8266114351822624</v>
      </c>
      <c r="E14" s="21">
        <f>1/(1+Assumptions!$B$26)^(4-0.5*Assumptions!$B$32)</f>
        <v>0.7659880114566592</v>
      </c>
      <c r="F14" s="21">
        <f>1/(1+Assumptions!$B$26)^(5-0.5*Assumptions!$B$32)</f>
        <v>0.709810690637198</v>
      </c>
      <c r="G14" s="21">
        <f>1/(1+Assumptions!$B$26)^(6-0.5*Assumptions!$B$32)</f>
        <v>0.6577533969294551</v>
      </c>
      <c r="H14" s="21">
        <f>1/(1+Assumptions!$B$26)^(7-0.5*Assumptions!$B$32)</f>
        <v>0.6095139688356289</v>
      </c>
      <c r="I14" s="21">
        <f>1/(1+Assumptions!$B$26)^(8-0.5*Assumptions!$B$32)</f>
        <v>0.5648124052875163</v>
      </c>
      <c r="J14" s="21">
        <f>1/(1+Assumptions!$B$26)^(9-0.5*Assumptions!$B$32)</f>
        <v>0.5233892404075479</v>
      </c>
      <c r="K14" s="21">
        <f>1/(1+Assumptions!$B$26)^(10-0.5*Assumptions!$B$32)</f>
        <v>0.4850040374643389</v>
      </c>
    </row>
    <row r="15" spans="1:11" x14ac:dyDescent="0.25">
      <c r="A15" s="19" t="s">
        <v>58</v>
      </c>
      <c r="B15" s="20">
        <f>B13*B14</f>
        <v>1009051738.2335974</v>
      </c>
      <c r="C15" s="20">
        <f>C13*C14</f>
        <v>945298167.7135667</v>
      </c>
      <c r="D15" s="20">
        <f>D13*D14</f>
        <v>853974095.5357721</v>
      </c>
      <c r="E15" s="20">
        <f>E13*E14</f>
        <v>771805958.9215796</v>
      </c>
      <c r="F15" s="20">
        <f>F13*F14</f>
        <v>697762616.7075936</v>
      </c>
      <c r="G15" s="20">
        <f>G13*G14</f>
        <v>630936637.9169898</v>
      </c>
      <c r="H15" s="20">
        <f>H13*H14</f>
        <v>570528400.6026287</v>
      </c>
      <c r="I15" s="20">
        <f>I13*I14</f>
        <v>515832341.3297807</v>
      </c>
      <c r="J15" s="20">
        <f>J13*J14</f>
        <v>466225049.5566416</v>
      </c>
      <c r="K15" s="20">
        <f>K13*K14</f>
        <v>421154946.4679865</v>
      </c>
    </row>
    <row r="17" spans="1:2" x14ac:dyDescent="0.25">
      <c r="A17" s="22" t="s">
        <v>59</v>
      </c>
      <c r="B17" s="23">
        <f>SUM(B15:K15)</f>
        <v>6882569952.9861355</v>
      </c>
    </row>
    <row r="19" spans="1:11" x14ac:dyDescent="0.25">
      <c r="A19" t="s">
        <v>7</v>
      </c>
      <c r="B19" s="9">
        <f>Assumptions!$B$10+($B$20-Assumptions!$B$10)*0/9</f>
        <v>0.06933042270943414</v>
      </c>
      <c r="C19" s="9">
        <f>Assumptions!$B$10+($B$20-Assumptions!$B$10)*1/9</f>
        <v>0.07582979906706536</v>
      </c>
      <c r="D19" s="9">
        <f>Assumptions!$B$10+($B$20-Assumptions!$B$10)*2/9</f>
        <v>0.08232917542469657</v>
      </c>
      <c r="E19" s="9">
        <f>Assumptions!$B$10+($B$20-Assumptions!$B$10)*3/9</f>
        <v>0.08882855178232779</v>
      </c>
      <c r="F19" s="9">
        <f>Assumptions!$B$10+($B$20-Assumptions!$B$10)*4/9</f>
        <v>0.09532792813995901</v>
      </c>
      <c r="G19" s="9">
        <f>Assumptions!$B$10+($B$20-Assumptions!$B$10)*5/9</f>
        <v>0.10182730449759023</v>
      </c>
      <c r="H19" s="9">
        <f>Assumptions!$B$10+($B$20-Assumptions!$B$10)*6/9</f>
        <v>0.10832668085522144</v>
      </c>
      <c r="I19" s="9">
        <f>Assumptions!$B$10+($B$20-Assumptions!$B$10)*7/9</f>
        <v>0.11482605721285266</v>
      </c>
      <c r="J19" s="9">
        <f>Assumptions!$B$10+($B$20-Assumptions!$B$10)*8/9</f>
        <v>0.12132543357048388</v>
      </c>
      <c r="K19" s="9">
        <f>Assumptions!$B$10+($B$20-Assumptions!$B$10)*9/9</f>
        <v>0.1278248099281151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0.1278248099281151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868353485.6118656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1260330258.20436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0.3158795579262037</v>
      </c>
    </row>
    <row r="7" spans="1:2" x14ac:dyDescent="0.25">
      <c r="A7" t="s">
        <v>66</v>
      </c>
      <c r="B7" s="18">
        <f>-MAX(B5,0)*B6</f>
        <v>-398112564.8026114</v>
      </c>
    </row>
    <row r="8" spans="1:2" x14ac:dyDescent="0.25">
      <c r="A8" t="s">
        <v>67</v>
      </c>
      <c r="B8" s="18">
        <f>IF(OR(Assumptions!$B$33=0,Assumptions!B12&lt;=0),B5,MAX(B5+B7,0))</f>
        <v>862217693.4017487</v>
      </c>
    </row>
    <row r="9" spans="1:2" x14ac:dyDescent="0.25">
      <c r="A9" t="s">
        <v>68</v>
      </c>
      <c r="B9" s="18">
        <f>B8*(1+Assumptions!B12)/(Assumptions!B26-Assumptions!B12)</f>
        <v>16322615156.907068</v>
      </c>
    </row>
    <row r="10" spans="1:2" x14ac:dyDescent="0.25">
      <c r="A10" t="s">
        <v>69</v>
      </c>
      <c r="B10" s="18">
        <f>B9/(1+Assumptions!B26)^(10-0.5*Assumptions!B32)</f>
        <v>7916534253.076542</v>
      </c>
    </row>
    <row r="11" spans="1:2" x14ac:dyDescent="0.25">
      <c r="A11" t="s">
        <v>70</v>
      </c>
      <c r="B11" s="18">
        <f>Forecast!B17+B10</f>
        <v>14799104206.062677</v>
      </c>
    </row>
    <row r="12" spans="1:2" x14ac:dyDescent="0.25">
      <c r="A12" t="s">
        <v>71</v>
      </c>
      <c r="B12" s="18">
        <f>-Assumptions!B30</f>
        <v>-3231935000</v>
      </c>
    </row>
    <row r="13" spans="1:2" x14ac:dyDescent="0.25">
      <c r="A13" t="s">
        <v>72</v>
      </c>
      <c r="B13" s="18">
        <f>B11+B12</f>
        <v>11567169206.062677</v>
      </c>
    </row>
    <row r="14" spans="1:2" x14ac:dyDescent="0.25">
      <c r="A14" s="19" t="s">
        <v>73</v>
      </c>
      <c r="B14" s="24">
        <f>B13/Assumptions!B31</f>
        <v>59.621180826538996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1906679653.3062427</v>
      </c>
    </row>
    <row r="18" spans="1:2" x14ac:dyDescent="0.25">
      <c r="A18" t="s">
        <v>68</v>
      </c>
      <c r="B18" s="18">
        <f>B17*Assumptions!B13</f>
        <v>38133593066.124855</v>
      </c>
    </row>
    <row r="19" spans="1:2" x14ac:dyDescent="0.25">
      <c r="A19" t="s">
        <v>69</v>
      </c>
      <c r="B19" s="18">
        <f>B18/(1+Assumptions!B26)^(10-0.5*Assumptions!B32)</f>
        <v>18494946600.092674</v>
      </c>
    </row>
    <row r="20" spans="1:2" x14ac:dyDescent="0.25">
      <c r="A20" t="s">
        <v>70</v>
      </c>
      <c r="B20" s="18">
        <f>Forecast!B17+B19</f>
        <v>25377516553.07881</v>
      </c>
    </row>
    <row r="21" spans="1:2" x14ac:dyDescent="0.25">
      <c r="A21" t="s">
        <v>71</v>
      </c>
      <c r="B21" s="18">
        <f>-Assumptions!B30</f>
        <v>-3231935000</v>
      </c>
    </row>
    <row r="22" spans="1:2" x14ac:dyDescent="0.25">
      <c r="A22" t="s">
        <v>72</v>
      </c>
      <c r="B22" s="18">
        <f>B20+B21</f>
        <v>22145581553.07881</v>
      </c>
    </row>
    <row r="23" spans="1:2" x14ac:dyDescent="0.25">
      <c r="A23" s="19" t="s">
        <v>73</v>
      </c>
      <c r="B23" s="25">
        <f>B22/Assumptions!B31</f>
        <v>114.14596767486967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180.68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59.621180826538996</v>
      </c>
    </row>
    <row r="29" spans="1:2" x14ac:dyDescent="0.25">
      <c r="A29" s="19" t="s">
        <v>81</v>
      </c>
      <c r="B29" s="11">
        <f>B28/B26-1</f>
        <v>-0.6700178169883828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0.059144</v>
      </c>
      <c r="B5" s="31">
        <v>93.2291852083465</v>
      </c>
      <c r="C5" s="31">
        <v>94.44909075705554</v>
      </c>
      <c r="D5" s="31">
        <v>96.36140051388631</v>
      </c>
      <c r="E5" s="31">
        <v>99.32248502240962</v>
      </c>
      <c r="F5" s="31">
        <v>103.98391905380619</v>
      </c>
    </row>
    <row r="6" spans="1:6" x14ac:dyDescent="0.25">
      <c r="A6" s="30">
        <v>0.069144</v>
      </c>
      <c r="B6" s="31">
        <v>73.99050363665059</v>
      </c>
      <c r="C6" s="31">
        <v>73.396793833724</v>
      </c>
      <c r="D6" s="31">
        <v>72.91360456695395</v>
      </c>
      <c r="E6" s="31">
        <v>72.58328736000544</v>
      </c>
      <c r="F6" s="31">
        <v>72.4730013300682</v>
      </c>
    </row>
    <row r="7" spans="1:6" x14ac:dyDescent="0.25">
      <c r="A7" s="30">
        <v>0.079144</v>
      </c>
      <c r="B7" s="31">
        <v>61.54495245656395</v>
      </c>
      <c r="C7" s="31">
        <v>60.58310867998525</v>
      </c>
      <c r="D7" s="32">
        <v>59.62126490340654</v>
      </c>
      <c r="E7" s="31">
        <v>58.65942112682786</v>
      </c>
      <c r="F7" s="31">
        <v>57.697577350249155</v>
      </c>
    </row>
    <row r="8" spans="1:6" x14ac:dyDescent="0.25">
      <c r="A8" s="30">
        <v>0.089144</v>
      </c>
      <c r="B8" s="31">
        <v>52.897944242597816</v>
      </c>
      <c r="C8" s="31">
        <v>52.08934097215453</v>
      </c>
      <c r="D8" s="31">
        <v>51.28073770171126</v>
      </c>
      <c r="E8" s="31">
        <v>50.47213443126799</v>
      </c>
      <c r="F8" s="31">
        <v>49.66353116082471</v>
      </c>
    </row>
    <row r="9" spans="1:6" x14ac:dyDescent="0.25">
      <c r="A9" s="30">
        <v>0.099144</v>
      </c>
      <c r="B9" s="31">
        <v>46.002195421831495</v>
      </c>
      <c r="C9" s="31">
        <v>45.31317047101115</v>
      </c>
      <c r="D9" s="31">
        <v>44.6241455201908</v>
      </c>
      <c r="E9" s="31">
        <v>43.935120569370454</v>
      </c>
      <c r="F9" s="31">
        <v>43.24609561855011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4735151000</v>
      </c>
      <c r="C5" s="18">
        <v>4884241000</v>
      </c>
      <c r="D5" s="18">
        <v>3224796000</v>
      </c>
      <c r="E5" s="18">
        <v>1140147000</v>
      </c>
      <c r="F5" s="6" t="s">
        <v>91</v>
      </c>
    </row>
    <row r="6" spans="1:6" x14ac:dyDescent="0.25">
      <c r="A6" t="s">
        <v>51</v>
      </c>
      <c r="B6" s="18">
        <v>835015000</v>
      </c>
      <c r="C6" s="18">
        <v>30946000</v>
      </c>
      <c r="D6" s="18">
        <v>397309000</v>
      </c>
      <c r="E6" s="18">
        <v>544387000</v>
      </c>
      <c r="F6" s="6" t="s">
        <v>92</v>
      </c>
    </row>
    <row r="7" spans="1:6" x14ac:dyDescent="0.25">
      <c r="A7" t="s">
        <v>93</v>
      </c>
      <c r="B7" s="18">
        <v>511247000</v>
      </c>
      <c r="C7" s="18">
        <v>485447000</v>
      </c>
      <c r="D7" s="18">
        <v>249023000</v>
      </c>
      <c r="E7" s="18">
        <v>60032000</v>
      </c>
      <c r="F7" s="6" t="s">
        <v>94</v>
      </c>
    </row>
    <row r="8" spans="1:6" x14ac:dyDescent="0.25">
      <c r="A8" t="s">
        <v>95</v>
      </c>
      <c r="B8" s="18">
        <v>126953000</v>
      </c>
      <c r="C8" s="18">
        <v>118818000</v>
      </c>
      <c r="D8" s="18">
        <v>93753000</v>
      </c>
      <c r="E8" s="18">
        <v>12404000</v>
      </c>
      <c r="F8" s="6" t="s">
        <v>96</v>
      </c>
    </row>
    <row r="9" spans="1:6" x14ac:dyDescent="0.25">
      <c r="A9" t="s">
        <v>97</v>
      </c>
      <c r="B9" s="18">
        <v>-52176000</v>
      </c>
      <c r="C9" s="18">
        <v>-183175000</v>
      </c>
      <c r="D9" s="18">
        <v>200473000</v>
      </c>
      <c r="E9" s="18">
        <v>2079000</v>
      </c>
      <c r="F9" s="6" t="s">
        <v>98</v>
      </c>
    </row>
    <row r="10" spans="1:6" x14ac:dyDescent="0.25">
      <c r="A10" t="s">
        <v>99</v>
      </c>
      <c r="B10" s="18">
        <v>4063035000</v>
      </c>
      <c r="C10" s="18">
        <v>3083317000</v>
      </c>
      <c r="D10" s="18">
        <v>3026895000</v>
      </c>
      <c r="E10" s="18">
        <v>2783385000</v>
      </c>
      <c r="F10" s="6" t="s">
        <v>100</v>
      </c>
    </row>
    <row r="11" spans="1:6" x14ac:dyDescent="0.25">
      <c r="A11" t="s">
        <v>101</v>
      </c>
      <c r="B11" s="18">
        <v>831100000</v>
      </c>
      <c r="C11" s="18">
        <v>619787000</v>
      </c>
      <c r="D11" s="18">
        <v>235839000</v>
      </c>
      <c r="E11" s="18">
        <v>180574000</v>
      </c>
      <c r="F11" s="6" t="s">
        <v>102</v>
      </c>
    </row>
    <row r="12" spans="1:6" x14ac:dyDescent="0.25">
      <c r="A12" t="s">
        <v>34</v>
      </c>
      <c r="B12" s="34">
        <v>194011072</v>
      </c>
      <c r="C12" s="34">
        <v>171874540</v>
      </c>
      <c r="D12" s="34">
        <v>82808019</v>
      </c>
      <c r="E12" s="34">
        <v>83162446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