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<sst xmlns="http://schemas.openxmlformats.org/spreadsheetml/2006/main" count="112" uniqueCount="100">
  <si>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The Lottery Corporation Limited (TLC.AX)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</si>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</sst>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0.005345870457818869</v>
      </c>
    </row>
    <row r="7" spans="1:2" x14ac:dyDescent="0.25">
      <c r="A7" t="s">
        <v>5</v>
      </c>
      <c r="B7" s="6">
        <v>0.16854607065797278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0.028900983824395293</v>
      </c>
    </row>
    <row r="10" spans="1:2" x14ac:dyDescent="0.25">
      <c r="A10" t="s">
        <v>8</v>
      </c>
      <c r="B10" s="6">
        <v>0.022112384745348213</v>
      </c>
    </row>
    <row r="11" spans="1:2" x14ac:dyDescent="0.25">
      <c r="A11" t="s">
        <v>9</v>
      </c>
      <c r="B11" s="6">
        <v>0.09728601252609603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18.25337388736065</v>
      </c>
    </row>
    <row r="14" spans="1:3" x14ac:dyDescent="0.25">
      <c r="A14" t="s">
        <v>12</v>
      </c>
      <c r="B14" s="6">
        <v>0.15400717570263725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0.62078</v>
      </c>
      <c r="C19" s="8" t="s">
        <v>19</v>
      </c>
    </row>
    <row r="20" spans="1:2" x14ac:dyDescent="0.25">
      <c r="A20" t="s">
        <v>20</v>
      </c>
      <c r="B20" s="10">
        <f>B17+B19*B18</f>
        <v>0.0907268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10683705344</v>
      </c>
    </row>
    <row r="23" spans="1:2" x14ac:dyDescent="0.25">
      <c r="A23" t="s">
        <v>24</v>
      </c>
      <c r="B23" s="11">
        <v>2495100000</v>
      </c>
    </row>
    <row r="24" spans="1:2" x14ac:dyDescent="0.25">
      <c r="A24" t="s">
        <v>25</v>
      </c>
      <c r="B24" s="10">
        <f>B22/(B22+B23)</f>
        <v>0.8106732791879379</v>
      </c>
    </row>
    <row r="25" spans="1:2" x14ac:dyDescent="0.25">
      <c r="A25" t="s">
        <v>26</v>
      </c>
      <c r="B25" s="10">
        <f>1-B24</f>
        <v>0.18932672081206214</v>
      </c>
    </row>
    <row r="26" spans="1:2" x14ac:dyDescent="0.25">
      <c r="A26" t="s">
        <v>27</v>
      </c>
      <c r="B26" s="12">
        <f>B24*B20+B25*B21*(1-B8)</f>
        <v>0.08063742758654856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3554400000</v>
      </c>
      <c r="C29" s="8" t="s">
        <v>30</v>
      </c>
    </row>
    <row r="30" spans="1:2" x14ac:dyDescent="0.25">
      <c r="A30" t="s">
        <v>31</v>
      </c>
      <c r="B30" s="11">
        <v>1923900000</v>
      </c>
    </row>
    <row r="31" spans="1:2" x14ac:dyDescent="0.25">
      <c r="A31" t="s">
        <v>32</v>
      </c>
      <c r="B31" s="13">
        <v>2224700000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0.005345870457818869</v>
      </c>
      <c r="C5" s="10">
        <f>Assumptions!B6</f>
        <v>0.005345870457818869</v>
      </c>
      <c r="D5" s="10">
        <f>Assumptions!B6</f>
        <v>0.005345870457818869</v>
      </c>
      <c r="E5" s="10">
        <f>Assumptions!B6</f>
        <v>0.005345870457818869</v>
      </c>
      <c r="F5" s="10">
        <f>Assumptions!B6</f>
        <v>0.005345870457818869</v>
      </c>
    </row>
    <row r="6" spans="1:6" x14ac:dyDescent="0.25">
      <c r="A6" t="s">
        <v>43</v>
      </c>
      <c r="B6" s="18">
        <f>Assumptions!B29*(1+B5)</f>
        <v>3573401361.9552712</v>
      </c>
      <c r="C6" s="18">
        <f>B6*(1+C5)</f>
        <v>3592504302.7300777</v>
      </c>
      <c r="D6" s="18">
        <f>C6*(1+D5)</f>
        <v>3611709365.3516297</v>
      </c>
      <c r="E6" s="18">
        <f>D6*(1+E5)</f>
        <v>3631017095.7500906</v>
      </c>
      <c r="F6" s="18">
        <f>E6*(1+F5)</f>
        <v>3650428042.7740965</v>
      </c>
    </row>
    <row r="7" spans="1:6" x14ac:dyDescent="0.25">
      <c r="A7" t="s">
        <v>5</v>
      </c>
      <c r="B7" s="10">
        <f>Assumptions!B7</f>
        <v>0.16854607065797278</v>
      </c>
      <c r="C7" s="10">
        <f>Assumptions!B7</f>
        <v>0.16854607065797278</v>
      </c>
      <c r="D7" s="10">
        <f>Assumptions!B7</f>
        <v>0.16854607065797278</v>
      </c>
      <c r="E7" s="10">
        <f>Assumptions!B7</f>
        <v>0.16854607065797278</v>
      </c>
      <c r="F7" s="10">
        <f>Assumptions!B7</f>
        <v>0.16854607065797278</v>
      </c>
    </row>
    <row r="8" spans="1:6" x14ac:dyDescent="0.25">
      <c r="A8" t="s">
        <v>44</v>
      </c>
      <c r="B8" s="18">
        <f>B6*B7</f>
        <v>602282758.4414093</v>
      </c>
      <c r="C8" s="18">
        <f>C6*C7</f>
        <v>605502484.047015</v>
      </c>
      <c r="D8" s="18">
        <f>D6*D7</f>
        <v>608739421.8886178</v>
      </c>
      <c r="E8" s="18">
        <f>E6*E7</f>
        <v>611993663.9806019</v>
      </c>
      <c r="F8" s="18">
        <f>F6*F7</f>
        <v>615265302.8292482</v>
      </c>
    </row>
    <row r="9" spans="1:6" x14ac:dyDescent="0.25">
      <c r="A9" t="s">
        <v>45</v>
      </c>
      <c r="B9" s="18">
        <f>B8*(1-Assumptions!B8)</f>
        <v>421597930.9089865</v>
      </c>
      <c r="C9" s="18">
        <f>C8*(1-Assumptions!B8)</f>
        <v>423851738.8329104</v>
      </c>
      <c r="D9" s="18">
        <f>D8*(1-Assumptions!B8)</f>
        <v>426117595.3220324</v>
      </c>
      <c r="E9" s="18">
        <f>E8*(1-Assumptions!B8)</f>
        <v>428395564.7864213</v>
      </c>
      <c r="F9" s="18">
        <f>F8*(1-Assumptions!B8)</f>
        <v>430685711.9804737</v>
      </c>
    </row>
    <row r="10" spans="1:6" x14ac:dyDescent="0.25">
      <c r="A10" t="s">
        <v>46</v>
      </c>
      <c r="B10" s="18">
        <f>B6*Assumptions!B9</f>
        <v>103274814.9599414</v>
      </c>
      <c r="C10" s="18">
        <f>C6*Assumptions!B9</f>
        <v>103826908.74227247</v>
      </c>
      <c r="D10" s="18">
        <f>D6*Assumptions!B9</f>
        <v>104381953.94644444</v>
      </c>
      <c r="E10" s="18">
        <f>E6*Assumptions!B9</f>
        <v>104939966.35037614</v>
      </c>
      <c r="F10" s="18">
        <f>F6*Assumptions!B9</f>
        <v>105500961.81633313</v>
      </c>
    </row>
    <row r="11" spans="1:6" x14ac:dyDescent="0.25">
      <c r="A11" t="s">
        <v>47</v>
      </c>
      <c r="B11" s="18">
        <f>-B6*Assumptions!B10</f>
        <v>-79016425.76510626</v>
      </c>
      <c r="C11" s="18">
        <f>-C6*Assumptions!B10</f>
        <v>-79438837.34128639</v>
      </c>
      <c r="D11" s="18">
        <f>-D6*Assumptions!B10</f>
        <v>-79863507.07503265</v>
      </c>
      <c r="E11" s="18">
        <f>-E6*Assumptions!B10</f>
        <v>-80290447.03816287</v>
      </c>
      <c r="F11" s="18">
        <f>-F6*Assumptions!B10</f>
        <v>-80719669.36702926</v>
      </c>
    </row>
    <row r="12" spans="1:6" x14ac:dyDescent="0.25">
      <c r="A12" t="s">
        <v>48</v>
      </c>
      <c r="B12" s="18">
        <f>-(B6-Assumptions!B29)*Assumptions!B11</f>
        <v>-1848566.7371934028</v>
      </c>
      <c r="C12" s="18">
        <f>-(C6-B6)*Assumptions!B11</f>
        <v>-1858448.9355030959</v>
      </c>
      <c r="D12" s="18">
        <f>-(D6-C6)*Assumptions!B11</f>
        <v>-1868383.9627647656</v>
      </c>
      <c r="E12" s="18">
        <f>-(E6-D6)*Assumptions!B11</f>
        <v>-1878372.1013951488</v>
      </c>
      <c r="F12" s="18">
        <f>-(F6-E6)*Assumptions!B11</f>
        <v>-1888413.6353208234</v>
      </c>
    </row>
    <row r="13" spans="1:6" x14ac:dyDescent="0.25">
      <c r="A13" s="19" t="s">
        <v>49</v>
      </c>
      <c r="B13" s="20">
        <f>B9+B10+B11+B12</f>
        <v>444007753.3666282</v>
      </c>
      <c r="C13" s="20">
        <f>C9+C10+C11+C12</f>
        <v>446381361.29839337</v>
      </c>
      <c r="D13" s="20">
        <f>D9+D10+D11+D12</f>
        <v>448767658.23067945</v>
      </c>
      <c r="E13" s="20">
        <f>E9+E10+E11+E12</f>
        <v>451166711.9972394</v>
      </c>
      <c r="F13" s="20">
        <f>F9+F10+F11+F12</f>
        <v>453578590.7944567</v>
      </c>
    </row>
    <row r="14" spans="1:6" x14ac:dyDescent="0.25">
      <c r="A14" t="s">
        <v>50</v>
      </c>
      <c r="B14" s="21">
        <f>1/(1+Assumptions!$B$26)^(1-0.5*Assumptions!$B$32)</f>
        <v>0.9619666090180498</v>
      </c>
      <c r="C14" s="21">
        <f>1/(1+Assumptions!$B$26)^(2-0.5*Assumptions!$B$32)</f>
        <v>0.8901844267660308</v>
      </c>
      <c r="D14" s="21">
        <f>1/(1+Assumptions!$B$26)^(3-0.5*Assumptions!$B$32)</f>
        <v>0.8237586484063691</v>
      </c>
      <c r="E14" s="21">
        <f>1/(1+Assumptions!$B$26)^(4-0.5*Assumptions!$B$32)</f>
        <v>0.7622895777782916</v>
      </c>
      <c r="F14" s="21">
        <f>1/(1+Assumptions!$B$26)^(5-0.5*Assumptions!$B$32)</f>
        <v>0.7054073441457215</v>
      </c>
    </row>
    <row r="15" spans="1:6" x14ac:dyDescent="0.25">
      <c r="A15" s="19" t="s">
        <v>51</v>
      </c>
      <c r="B15" s="20">
        <f>B13*B14</f>
        <v>427120632.8838179</v>
      </c>
      <c r="C15" s="20">
        <f>C13*C14</f>
        <v>397361736.2264508</v>
      </c>
      <c r="D15" s="20">
        <f>D13*D14</f>
        <v>369676239.59259593</v>
      </c>
      <c r="E15" s="20">
        <f>E13*E14</f>
        <v>343919682.39599574</v>
      </c>
      <c r="F15" s="20">
        <f>F13*F14</f>
        <v>319957669.0936767</v>
      </c>
    </row>
    <row r="17" spans="1:2" x14ac:dyDescent="0.25">
      <c r="A17" s="22" t="s">
        <v>52</v>
      </c>
      <c r="B17" s="23">
        <f>SUM(B15:F15)</f>
        <v>1858035960.1925368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453578590.7944567</v>
      </c>
    </row>
    <row r="5" spans="1:2" x14ac:dyDescent="0.25">
      <c r="A5" t="s">
        <v>56</v>
      </c>
      <c r="B5" s="18">
        <f>IF(Assumptions!$B$33=0,B4,B4-Forecast!F11-Forecast!F10-Forecast!F12)</f>
        <v>430685711.9804737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0.1623300984901569</v>
      </c>
    </row>
    <row r="7" spans="1:2" x14ac:dyDescent="0.25">
      <c r="A7" t="s">
        <v>58</v>
      </c>
      <c r="B7" s="18">
        <f>-MAX(Forecast!F9,0)*B6</f>
        <v>-69913254.04409364</v>
      </c>
    </row>
    <row r="8" spans="1:2" x14ac:dyDescent="0.25">
      <c r="A8" t="s">
        <v>59</v>
      </c>
      <c r="B8" s="18">
        <f>IF(OR(Assumptions!$B$33=0,Assumptions!B12&lt;=0),B5,MAX(B5+B7,0))</f>
        <v>360772457.93638</v>
      </c>
    </row>
    <row r="9" spans="1:2" x14ac:dyDescent="0.25">
      <c r="A9" t="s">
        <v>60</v>
      </c>
      <c r="B9" s="18">
        <f>B8*(1+Assumptions!B12)/(Assumptions!B26-Assumptions!B12)</f>
        <v>6646456988.140731</v>
      </c>
    </row>
    <row r="10" spans="1:2" x14ac:dyDescent="0.25">
      <c r="A10" t="s">
        <v>61</v>
      </c>
      <c r="B10" s="18">
        <f>B9/(1+Assumptions!B26)^(5-0.5*Assumptions!B32)</f>
        <v>4688459571.983124</v>
      </c>
    </row>
    <row r="11" spans="1:2" x14ac:dyDescent="0.25">
      <c r="A11" t="s">
        <v>62</v>
      </c>
      <c r="B11" s="18">
        <f>Forecast!B17+B10</f>
        <v>6546495532.175661</v>
      </c>
    </row>
    <row r="12" spans="1:2" x14ac:dyDescent="0.25">
      <c r="A12" t="s">
        <v>63</v>
      </c>
      <c r="B12" s="18">
        <f>-Assumptions!B30</f>
        <v>-1923900000</v>
      </c>
    </row>
    <row r="13" spans="1:2" x14ac:dyDescent="0.25">
      <c r="A13" t="s">
        <v>64</v>
      </c>
      <c r="B13" s="18">
        <f>B11+B12</f>
        <v>4622595532.175661</v>
      </c>
    </row>
    <row r="14" spans="1:2" x14ac:dyDescent="0.25">
      <c r="A14" s="19" t="s">
        <v>65</v>
      </c>
      <c r="B14" s="24">
        <f>B13/Assumptions!B31</f>
        <v>2.0778511854073183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720766264.6455814</v>
      </c>
    </row>
    <row r="18" spans="1:2" x14ac:dyDescent="0.25">
      <c r="A18" t="s">
        <v>60</v>
      </c>
      <c r="B18" s="18">
        <f>B17*Assumptions!B13</f>
        <v>13156416113.97213</v>
      </c>
    </row>
    <row r="19" spans="1:2" x14ac:dyDescent="0.25">
      <c r="A19" t="s">
        <v>61</v>
      </c>
      <c r="B19" s="18">
        <f>B18/(1+Assumptions!B26)^(5-0.5*Assumptions!B32)</f>
        <v>9280632549.433054</v>
      </c>
    </row>
    <row r="20" spans="1:2" x14ac:dyDescent="0.25">
      <c r="A20" t="s">
        <v>62</v>
      </c>
      <c r="B20" s="18">
        <f>Forecast!B17+B19</f>
        <v>11138668509.625591</v>
      </c>
    </row>
    <row r="21" spans="1:2" x14ac:dyDescent="0.25">
      <c r="A21" t="s">
        <v>63</v>
      </c>
      <c r="B21" s="18">
        <f>-Assumptions!B30</f>
        <v>-1923900000</v>
      </c>
    </row>
    <row r="22" spans="1:2" x14ac:dyDescent="0.25">
      <c r="A22" t="s">
        <v>64</v>
      </c>
      <c r="B22" s="18">
        <f>B20+B21</f>
        <v>9214768509.625591</v>
      </c>
    </row>
    <row r="23" spans="1:2" x14ac:dyDescent="0.25">
      <c r="A23" s="19" t="s">
        <v>65</v>
      </c>
      <c r="B23" s="25">
        <f>B22/Assumptions!B31</f>
        <v>4.142027468703911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2.0778511854073183</v>
      </c>
    </row>
    <row r="29" spans="1:2" x14ac:dyDescent="0.25">
      <c r="A29" s="19" t="s">
        <v>73</v>
      </c>
      <c r="B29" s="12">
        <f>B28/B26-1</f>
        <v>-0.5671143363734754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0.060637</v>
      </c>
      <c r="B5" s="31">
        <v>2.99011149171318</v>
      </c>
      <c r="C5" s="31">
        <v>3.2524496922611834</v>
      </c>
      <c r="D5" s="31">
        <v>3.5870486757819577</v>
      </c>
      <c r="E5" s="31">
        <v>4.029287615973695</v>
      </c>
      <c r="F5" s="31">
        <v>4.642145775233109</v>
      </c>
    </row>
    <row r="6" spans="1:6" x14ac:dyDescent="0.25">
      <c r="A6" s="30">
        <v>0.070637</v>
      </c>
      <c r="B6" s="31">
        <v>2.3337178075112974</v>
      </c>
      <c r="C6" s="31">
        <v>2.484811036796351</v>
      </c>
      <c r="D6" s="31">
        <v>2.667998879267596</v>
      </c>
      <c r="E6" s="31">
        <v>2.8951281542717604</v>
      </c>
      <c r="F6" s="31">
        <v>3.184694287574023</v>
      </c>
    </row>
    <row r="7" spans="1:6" x14ac:dyDescent="0.25">
      <c r="A7" s="30">
        <v>0.080637</v>
      </c>
      <c r="B7" s="31">
        <v>1.8764847035455599</v>
      </c>
      <c r="C7" s="31">
        <v>1.9692409117933583</v>
      </c>
      <c r="D7" s="32">
        <v>2.0778719128548984</v>
      </c>
      <c r="E7" s="31">
        <v>2.2070802343721447</v>
      </c>
      <c r="F7" s="31">
        <v>2.3636292439379614</v>
      </c>
    </row>
    <row r="8" spans="1:6" x14ac:dyDescent="0.25">
      <c r="A8" s="30">
        <v>0.090637</v>
      </c>
      <c r="B8" s="31">
        <v>1.5394584860699247</v>
      </c>
      <c r="C8" s="31">
        <v>1.5987365300182137</v>
      </c>
      <c r="D8" s="31">
        <v>1.6663977176427611</v>
      </c>
      <c r="E8" s="31">
        <v>1.744515818344164</v>
      </c>
      <c r="F8" s="31">
        <v>1.8359100656568106</v>
      </c>
    </row>
    <row r="9" spans="1:6" x14ac:dyDescent="0.25">
      <c r="A9" s="30">
        <v>0.100637</v>
      </c>
      <c r="B9" s="31">
        <v>1.280561483635975</v>
      </c>
      <c r="C9" s="31">
        <v>1.3193708603342857</v>
      </c>
      <c r="D9" s="31">
        <v>1.362771500430526</v>
      </c>
      <c r="E9" s="31">
        <v>1.4117383738550315</v>
      </c>
      <c r="F9" s="31">
        <v>1.4675435299081023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3554400000</v>
      </c>
      <c r="C5" s="18">
        <v>3727200000</v>
      </c>
      <c r="D5" s="18">
        <v>3977000000</v>
      </c>
      <c r="E5" s="18">
        <v>3498000000</v>
      </c>
      <c r="F5" s="8" t="s">
        <v>84</v>
      </c>
    </row>
    <row r="6" spans="1:6" x14ac:dyDescent="0.25">
      <c r="A6" t="s">
        <v>44</v>
      </c>
      <c r="B6" s="18">
        <v>576600000</v>
      </c>
      <c r="C6" s="18">
        <v>618900000</v>
      </c>
      <c r="D6" s="18">
        <v>694900000</v>
      </c>
      <c r="E6" s="18">
        <v>598800000</v>
      </c>
      <c r="F6" s="8" t="s">
        <v>85</v>
      </c>
    </row>
    <row r="7" spans="1:6" x14ac:dyDescent="0.25">
      <c r="A7" t="s">
        <v>86</v>
      </c>
      <c r="B7" s="18">
        <v>114100000</v>
      </c>
      <c r="C7" s="18">
        <v>105100000</v>
      </c>
      <c r="D7" s="18">
        <v>108300000</v>
      </c>
      <c r="E7" s="18">
        <v>98200000</v>
      </c>
      <c r="F7" s="8" t="s">
        <v>87</v>
      </c>
    </row>
    <row r="8" spans="1:6" x14ac:dyDescent="0.25">
      <c r="A8" t="s">
        <v>88</v>
      </c>
      <c r="B8" s="18">
        <v>104000000</v>
      </c>
      <c r="C8" s="18">
        <v>71600000</v>
      </c>
      <c r="D8" s="18">
        <v>68500000</v>
      </c>
      <c r="E8" s="18">
        <v>79600000</v>
      </c>
      <c r="F8" s="8" t="s">
        <v>89</v>
      </c>
    </row>
    <row r="9" spans="1:6" x14ac:dyDescent="0.25">
      <c r="A9" t="s">
        <v>90</v>
      </c>
      <c r="B9" s="18">
        <v>32700000</v>
      </c>
      <c r="C9" s="18">
        <v>-40500000</v>
      </c>
      <c r="D9" s="18">
        <v>46600000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2495100000</v>
      </c>
      <c r="C10" s="18">
        <v>2500400000</v>
      </c>
      <c r="D10" s="18">
        <v>2479700000</v>
      </c>
      <c r="E10" s="18">
        <v>4632000000</v>
      </c>
      <c r="F10" s="8" t="s">
        <v>93</v>
      </c>
    </row>
    <row r="11" spans="1:6" x14ac:dyDescent="0.25">
      <c r="A11" t="s">
        <v>94</v>
      </c>
      <c r="B11" s="18">
        <v>571200000</v>
      </c>
      <c r="C11" s="18">
        <v>550500000</v>
      </c>
      <c r="D11" s="18">
        <v>504000000</v>
      </c>
      <c r="E11" s="18">
        <v>740900000</v>
      </c>
      <c r="F11" s="8" t="s">
        <v>95</v>
      </c>
    </row>
    <row r="12" spans="1:6" x14ac:dyDescent="0.25">
      <c r="A12" t="s">
        <v>32</v>
      </c>
      <c r="B12" s="34">
        <v>2224700000</v>
      </c>
      <c r="C12" s="34">
        <v>2225000000</v>
      </c>
      <c r="D12" s="34">
        <v>2225100000</v>
      </c>
      <c r="E12" s="34">
        <v>2225800000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2026-09-19T01:03:59Z</dcterms:modified>
</cp:coreProperties>
</file>