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<sst xmlns="http://schemas.openxmlformats.org/spreadsheetml/2006/main" count="120" uniqueCount="103">
  <si>
    <t>Telstra Group Limited (TLS.AX)</t>
  </si>
  <si>
    <t>DCF Studio - Base case</t>
  </si>
  <si>
    <t>Blue figures on a cream fill are inputs. Every other figure is a formula - change an input and the model reprices. Currency figures are AUD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</si>
  <si>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</si>
  <si>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</si>
  <si>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</si>
  <si>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</si>
  <si>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</si>
  <si>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</si>
  <si>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</si>
  <si>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</si>
  <si>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</si>
  <si>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</si>
  <si>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</si>
  <si>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</si>
  <si>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</si>
  <si>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</si>
  <si>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</si>
  <si>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</si>
  <si>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</si>
  <si>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</si>
  <si>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</si>
  <si>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</si>
  <si>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(AUD m)</t>
  </si>
  <si>
    <t>Total debt (AUD m)</t>
  </si>
  <si>
    <t>Equity weight</t>
  </si>
  <si>
    <t>Debt weight</t>
  </si>
  <si>
    <t>WACC</t>
  </si>
  <si>
    <t>Base year</t>
  </si>
  <si>
    <t>Revenue, last reported year (AUD m)</t>
  </si>
  <si>
    <t>Fiscal year ended 2026-06-30</t>
  </si>
  <si>
    <t>Net debt (AUD m)</t>
  </si>
  <si>
    <t>Diluted shares</t>
  </si>
  <si>
    <t>Mid-year discounting (1 = yes, 0 = no)</t>
  </si>
  <si>
    <t>Terminal year on a steady-state footing (1 = yes, 0 = no)</t>
  </si>
  <si>
    <t>Forecast cashflows (AUD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</si>
  <si>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</si>
  <si>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</si>
  <si>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</si>
  <si>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</si>
  <si>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</si>
  <si>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</si>
  <si>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</si>
  <si>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</si>
  <si>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</si>
  <si>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</si>
  <si>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</si>
  <si>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</si>
  <si>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</si>
  <si>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</si>
  <si>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</si>
  <si>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</si>
  <si>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</si>
  <si>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(AUD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</si>
  <si>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</si>
  <si>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</si>
  <si>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</si>
  <si>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</si>
  <si>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</si>
  <si>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</si>
  <si>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</si>
  <si>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</si>
  <si>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</si>
  <si>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</si>
  <si>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</si>
  <si>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</si>
  <si>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</si>
  <si>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</si>
  <si>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</si>
  <si>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</si>
  <si>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AUD to AUD</t>
  </si>
  <si>
    <t>Same currency, no conversion</t>
  </si>
  <si>
    <t>Value per share (AUD)</t>
  </si>
  <si>
    <t>Implied upside</t>
  </si>
  <si>
    <t>Value per share (AUD)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</si>
  <si>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</si>
  <si>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n/a</t>
  </si>
  <si>
    <t>Reported history and provenance (AUD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</si>
  <si>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</si>
  <si>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</si>
  <si>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</si>
  <si>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</si>
  <si>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</si>
  <si>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</si>
  <si>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</si>
  <si>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</si>
  <si>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</si>
  <si>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</si>
  <si>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</si>
  <si>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</si>
  <si>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</si>
  <si>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</si>
  <si>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</si>
  <si>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</si>
  <si>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</si>
  <si>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</si>
  <si>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</si>
  <si>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</si>
  <si>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</si>
  <si>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line has no market capitalisation, which means it is not ordinary shares - typically a hybrid, preference line, note or unlisted stub. A discounted cashflow values a claim on the whole business, so applying it here attributes all of the group’s revenue to a security that has no such claim. Its value is its coupon and call schedule. Look up the ordinary line instead.</t>
  </si>
  <si>
    <t>Adjusted: Some line items were not reported and have been derived. Each one is labelled in the workings below.</t>
  </si>
  <si>
    <t>No usable EV/EBITDA (EBITDA is not positive), so the exit multiple falls back to 8x.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</si>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</sst>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0.0021119386914163485</v>
      </c>
    </row>
    <row r="7" spans="1:2" x14ac:dyDescent="0.25">
      <c r="A7" t="s">
        <v>5</v>
      </c>
      <c r="B7" s="6">
        <v>0.13536054416398724</v>
      </c>
    </row>
    <row r="8" spans="1:2" x14ac:dyDescent="0.25">
      <c r="A8" t="s">
        <v>6</v>
      </c>
      <c r="B8" s="6">
        <v>0.279131806166527</v>
      </c>
    </row>
    <row r="9" spans="1:2" x14ac:dyDescent="0.25">
      <c r="A9" t="s">
        <v>7</v>
      </c>
      <c r="B9" s="6">
        <v>0.2050257066263053</v>
      </c>
    </row>
    <row r="10" spans="1:2" x14ac:dyDescent="0.25">
      <c r="A10" t="s">
        <v>8</v>
      </c>
      <c r="B10" s="6">
        <v>0.18544251306961734</v>
      </c>
    </row>
    <row r="11" spans="1:2" x14ac:dyDescent="0.25">
      <c r="A11" t="s">
        <v>9</v>
      </c>
      <c r="B11" s="6">
        <v>0.7267441860465116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8</v>
      </c>
    </row>
    <row r="14" spans="1:3" x14ac:dyDescent="0.25">
      <c r="A14" t="s">
        <v>12</v>
      </c>
      <c r="B14" s="6">
        <v>0.07685620834520324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0.41174</v>
      </c>
      <c r="C19" s="8" t="s">
        <v>19</v>
      </c>
    </row>
    <row r="20" spans="1:2" x14ac:dyDescent="0.25">
      <c r="A20" t="s">
        <v>20</v>
      </c>
      <c r="B20" s="10">
        <f>B17+B19*B18</f>
        <v>0.0781844</v>
      </c>
    </row>
    <row r="21" spans="1:3" x14ac:dyDescent="0.25">
      <c r="A21" t="s">
        <v>21</v>
      </c>
      <c r="B21" s="6">
        <v>0.05348</v>
      </c>
      <c r="C21" s="8" t="s">
        <v>22</v>
      </c>
    </row>
    <row r="22" spans="1:2" x14ac:dyDescent="0.25">
      <c r="A22" t="s">
        <v>23</v>
      </c>
      <c r="B22" s="11">
        <v>0</v>
      </c>
    </row>
    <row r="23" spans="1:2" x14ac:dyDescent="0.25">
      <c r="A23" t="s">
        <v>24</v>
      </c>
      <c r="B23" s="11">
        <v>18603000000</v>
      </c>
    </row>
    <row r="24" spans="1:2" x14ac:dyDescent="0.25">
      <c r="A24" t="s">
        <v>25</v>
      </c>
      <c r="B24" s="10">
        <f>B22/(B22+B23)</f>
        <v>0</v>
      </c>
    </row>
    <row r="25" spans="1:2" x14ac:dyDescent="0.25">
      <c r="A25" t="s">
        <v>26</v>
      </c>
      <c r="B25" s="10">
        <f>1-B24</f>
        <v>1</v>
      </c>
    </row>
    <row r="26" spans="1:2" x14ac:dyDescent="0.25">
      <c r="A26" t="s">
        <v>27</v>
      </c>
      <c r="B26" s="12">
        <f>B24*B20+B25*B21*(1-B8)</f>
        <v>0.038552031006214134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22507000000</v>
      </c>
      <c r="C29" s="8" t="s">
        <v>30</v>
      </c>
    </row>
    <row r="30" spans="1:2" x14ac:dyDescent="0.25">
      <c r="A30" t="s">
        <v>31</v>
      </c>
      <c r="B30" s="11">
        <v>17500000000</v>
      </c>
    </row>
    <row r="31" spans="1:2" x14ac:dyDescent="0.25">
      <c r="A31" t="s">
        <v>32</v>
      </c>
      <c r="B31" s="13">
        <v>11269000000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0.0021119386914163485</v>
      </c>
      <c r="C5" s="10">
        <f>Assumptions!B6</f>
        <v>0.0021119386914163485</v>
      </c>
      <c r="D5" s="10">
        <f>Assumptions!B6</f>
        <v>0.0021119386914163485</v>
      </c>
      <c r="E5" s="10">
        <f>Assumptions!B6</f>
        <v>0.0021119386914163485</v>
      </c>
      <c r="F5" s="10">
        <f>Assumptions!B6</f>
        <v>0.0021119386914163485</v>
      </c>
    </row>
    <row r="6" spans="1:6" x14ac:dyDescent="0.25">
      <c r="A6" t="s">
        <v>43</v>
      </c>
      <c r="B6" s="18">
        <f>Assumptions!B29*(1+B5)</f>
        <v>22554533404.12771</v>
      </c>
      <c r="C6" s="18">
        <f>B6*(1+C5)</f>
        <v>22602167195.890728</v>
      </c>
      <c r="D6" s="18">
        <f>C6*(1+D5)</f>
        <v>22649901587.30159</v>
      </c>
      <c r="E6" s="18">
        <f>D6*(1+E5)</f>
        <v>22697736790.820583</v>
      </c>
      <c r="F6" s="18">
        <f>E6*(1+F5)</f>
        <v>22745673019.3567</v>
      </c>
    </row>
    <row r="7" spans="1:6" x14ac:dyDescent="0.25">
      <c r="A7" t="s">
        <v>5</v>
      </c>
      <c r="B7" s="10">
        <f>Assumptions!B7</f>
        <v>0.13536054416398724</v>
      </c>
      <c r="C7" s="10">
        <f>Assumptions!B7</f>
        <v>0.13536054416398724</v>
      </c>
      <c r="D7" s="10">
        <f>Assumptions!B7</f>
        <v>0.13536054416398724</v>
      </c>
      <c r="E7" s="10">
        <f>Assumptions!B7</f>
        <v>0.13536054416398724</v>
      </c>
      <c r="F7" s="10">
        <f>Assumptions!B7</f>
        <v>0.13536054416398724</v>
      </c>
    </row>
    <row r="8" spans="1:6" x14ac:dyDescent="0.25">
      <c r="A8" t="s">
        <v>44</v>
      </c>
      <c r="B8" s="18">
        <f>B6*B7</f>
        <v>3052993914.947554</v>
      </c>
      <c r="C8" s="18">
        <f>C6*C7</f>
        <v>3059441650.9211907</v>
      </c>
      <c r="D8" s="18">
        <f>D6*D7</f>
        <v>3065903004.1179013</v>
      </c>
      <c r="E8" s="18">
        <f>E6*E7</f>
        <v>3072378003.2964277</v>
      </c>
      <c r="F8" s="18">
        <f>F6*F7</f>
        <v>3078866677.2762456</v>
      </c>
    </row>
    <row r="9" spans="1:6" x14ac:dyDescent="0.25">
      <c r="A9" t="s">
        <v>45</v>
      </c>
      <c r="B9" s="18">
        <f>B8*(1-Assumptions!B8)</f>
        <v>2200806209.252827</v>
      </c>
      <c r="C9" s="18">
        <f>C8*(1-Assumptions!B8)</f>
        <v>2205454177.0384574</v>
      </c>
      <c r="D9" s="18">
        <f>D8*(1-Assumptions!B8)</f>
        <v>2210111961.0470905</v>
      </c>
      <c r="E9" s="18">
        <f>E8*(1-Assumptions!B8)</f>
        <v>2214779582.009988</v>
      </c>
      <c r="F9" s="18">
        <f>F8*(1-Assumptions!B8)</f>
        <v>2219457060.7021937</v>
      </c>
    </row>
    <row r="10" spans="1:6" x14ac:dyDescent="0.25">
      <c r="A10" t="s">
        <v>46</v>
      </c>
      <c r="B10" s="18">
        <f>B6*Assumptions!B9</f>
        <v>4624259148.80789</v>
      </c>
      <c r="C10" s="18">
        <f>C6*Assumptions!B9</f>
        <v>4634025300.623394</v>
      </c>
      <c r="D10" s="18">
        <f>D6*Assumptions!B9</f>
        <v>4643812077.952783</v>
      </c>
      <c r="E10" s="18">
        <f>E6*Assumptions!B9</f>
        <v>4653619524.355877</v>
      </c>
      <c r="F10" s="18">
        <f>F6*Assumptions!B9</f>
        <v>4663447683.484494</v>
      </c>
    </row>
    <row r="11" spans="1:6" x14ac:dyDescent="0.25">
      <c r="A11" t="s">
        <v>47</v>
      </c>
      <c r="B11" s="18">
        <f>-B6*Assumptions!B10</f>
        <v>-4182569355.5740733</v>
      </c>
      <c r="C11" s="18">
        <f>-C6*Assumptions!B10</f>
        <v>-4191402685.625643</v>
      </c>
      <c r="D11" s="18">
        <f>-D6*Assumptions!B10</f>
        <v>-4200254671.1287217</v>
      </c>
      <c r="E11" s="18">
        <f>-E6*Assumptions!B10</f>
        <v>-4209125351.4824805</v>
      </c>
      <c r="F11" s="18">
        <f>-F6*Assumptions!B10</f>
        <v>-4218014766.1692977</v>
      </c>
    </row>
    <row r="12" spans="1:6" x14ac:dyDescent="0.25">
      <c r="A12" t="s">
        <v>48</v>
      </c>
      <c r="B12" s="18">
        <f>-(B6-Assumptions!B29)*Assumptions!B11</f>
        <v>-34544625.09281136</v>
      </c>
      <c r="C12" s="18">
        <f>-(C6-B6)*Assumptions!B11</f>
        <v>-34617581.22312468</v>
      </c>
      <c r="D12" s="18">
        <f>-(D6-C6)*Assumptions!B11</f>
        <v>-34690691.43231247</v>
      </c>
      <c r="E12" s="18">
        <f>-(E6-D6)*Assumptions!B11</f>
        <v>-34763956.04578007</v>
      </c>
      <c r="F12" s="18">
        <f>-(F6-E6)*Assumptions!B11</f>
        <v>-34837375.38962031</v>
      </c>
    </row>
    <row r="13" spans="1:6" x14ac:dyDescent="0.25">
      <c r="A13" s="19" t="s">
        <v>49</v>
      </c>
      <c r="B13" s="20">
        <f>B9+B10+B11+B12</f>
        <v>2607951377.3938317</v>
      </c>
      <c r="C13" s="20">
        <f>C9+C10+C11+C12</f>
        <v>2613459210.8130846</v>
      </c>
      <c r="D13" s="20">
        <f>D9+D10+D11+D12</f>
        <v>2618978676.438839</v>
      </c>
      <c r="E13" s="20">
        <f>E9+E10+E11+E12</f>
        <v>2624509798.837604</v>
      </c>
      <c r="F13" s="20">
        <f>F9+F10+F11+F12</f>
        <v>2630052602.6277695</v>
      </c>
    </row>
    <row r="14" spans="1:6" x14ac:dyDescent="0.25">
      <c r="A14" t="s">
        <v>50</v>
      </c>
      <c r="B14" s="21">
        <f>1/(1+Assumptions!$B$26)^(1-0.5*Assumptions!$B$32)</f>
        <v>0.9812640097083859</v>
      </c>
      <c r="C14" s="21">
        <f>1/(1+Assumptions!$B$26)^(2-0.5*Assumptions!$B$32)</f>
        <v>0.9448385640897317</v>
      </c>
      <c r="D14" s="21">
        <f>1/(1+Assumptions!$B$26)^(3-0.5*Assumptions!$B$32)</f>
        <v>0.9097652653707806</v>
      </c>
      <c r="E14" s="21">
        <f>1/(1+Assumptions!$B$26)^(4-0.5*Assumptions!$B$32)</f>
        <v>0.8759939205832018</v>
      </c>
      <c r="F14" s="21">
        <f>1/(1+Assumptions!$B$26)^(5-0.5*Assumptions!$B$32)</f>
        <v>0.8434761999689935</v>
      </c>
    </row>
    <row r="15" spans="1:6" x14ac:dyDescent="0.25">
      <c r="A15" s="19" t="s">
        <v>51</v>
      </c>
      <c r="B15" s="20">
        <f>B13*B14</f>
        <v>2559088825.7059793</v>
      </c>
      <c r="C15" s="20">
        <f>C13*C14</f>
        <v>2469297048.051718</v>
      </c>
      <c r="D15" s="20">
        <f>D13*D14</f>
        <v>2382655830.570796</v>
      </c>
      <c r="E15" s="20">
        <f>E13*E14</f>
        <v>2299054628.2927833</v>
      </c>
      <c r="F15" s="20">
        <f>F13*F14</f>
        <v>2218386774.983032</v>
      </c>
    </row>
    <row r="17" spans="1:2" x14ac:dyDescent="0.25">
      <c r="A17" s="22" t="s">
        <v>52</v>
      </c>
      <c r="B17" s="23">
        <f>SUM(B15:F15)</f>
        <v>11928483107.60431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2630052602.6277695</v>
      </c>
    </row>
    <row r="5" spans="1:2" x14ac:dyDescent="0.25">
      <c r="A5" t="s">
        <v>56</v>
      </c>
      <c r="B5" s="18">
        <f>IF(Assumptions!$B$33=0,B4,B4-Forecast!F11-Forecast!F10-Forecast!F12)</f>
        <v>2219457060.7021937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0.32528276554720653</v>
      </c>
    </row>
    <row r="7" spans="1:2" x14ac:dyDescent="0.25">
      <c r="A7" t="s">
        <v>58</v>
      </c>
      <c r="B7" s="18">
        <f>-MAX(Forecast!F9,0)*B6</f>
        <v>-721951130.7184838</v>
      </c>
    </row>
    <row r="8" spans="1:2" x14ac:dyDescent="0.25">
      <c r="A8" t="s">
        <v>59</v>
      </c>
      <c r="B8" s="18">
        <f>IF(OR(Assumptions!$B$33=0,Assumptions!B12&lt;=0),B5,MAX(B5+B7,0))</f>
        <v>1497505929.9837098</v>
      </c>
    </row>
    <row r="9" spans="1:2" x14ac:dyDescent="0.25">
      <c r="A9" t="s">
        <v>60</v>
      </c>
      <c r="B9" s="18">
        <f>B8*(1+Assumptions!B12)/(Assumptions!B26-Assumptions!B12)</f>
        <v>113262991910.91513</v>
      </c>
    </row>
    <row r="10" spans="1:2" x14ac:dyDescent="0.25">
      <c r="A10" t="s">
        <v>61</v>
      </c>
      <c r="B10" s="18">
        <f>B9/(1+Assumptions!B26)^(5-0.5*Assumptions!B32)</f>
        <v>95534638014.13754</v>
      </c>
    </row>
    <row r="11" spans="1:2" x14ac:dyDescent="0.25">
      <c r="A11" t="s">
        <v>62</v>
      </c>
      <c r="B11" s="18">
        <f>Forecast!B17+B10</f>
        <v>107463121121.74185</v>
      </c>
    </row>
    <row r="12" spans="1:2" x14ac:dyDescent="0.25">
      <c r="A12" t="s">
        <v>63</v>
      </c>
      <c r="B12" s="18">
        <f>-Assumptions!B30</f>
        <v>-17500000000</v>
      </c>
    </row>
    <row r="13" spans="1:2" x14ac:dyDescent="0.25">
      <c r="A13" t="s">
        <v>64</v>
      </c>
      <c r="B13" s="18">
        <f>B11+B12</f>
        <v>89963121121.74185</v>
      </c>
    </row>
    <row r="14" spans="1:2" x14ac:dyDescent="0.25">
      <c r="A14" s="19" t="s">
        <v>65</v>
      </c>
      <c r="B14" s="24">
        <f>B13/Assumptions!B31</f>
        <v>7.983239073719217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7742314360.76074</v>
      </c>
    </row>
    <row r="18" spans="1:2" x14ac:dyDescent="0.25">
      <c r="A18" t="s">
        <v>60</v>
      </c>
      <c r="B18" s="18">
        <f>B17*Assumptions!B13</f>
        <v>61938514886.08592</v>
      </c>
    </row>
    <row r="19" spans="1:2" x14ac:dyDescent="0.25">
      <c r="A19" t="s">
        <v>61</v>
      </c>
      <c r="B19" s="18">
        <f>B18/(1+Assumptions!B26)^(5-0.5*Assumptions!B32)</f>
        <v>52243663167.83869</v>
      </c>
    </row>
    <row r="20" spans="1:2" x14ac:dyDescent="0.25">
      <c r="A20" t="s">
        <v>62</v>
      </c>
      <c r="B20" s="18">
        <f>Forecast!B17+B19</f>
        <v>64172146275.443</v>
      </c>
    </row>
    <row r="21" spans="1:2" x14ac:dyDescent="0.25">
      <c r="A21" t="s">
        <v>63</v>
      </c>
      <c r="B21" s="18">
        <f>-Assumptions!B30</f>
        <v>-17500000000</v>
      </c>
    </row>
    <row r="22" spans="1:2" x14ac:dyDescent="0.25">
      <c r="A22" t="s">
        <v>64</v>
      </c>
      <c r="B22" s="18">
        <f>B20+B21</f>
        <v>46672146275.443</v>
      </c>
    </row>
    <row r="23" spans="1:2" x14ac:dyDescent="0.25">
      <c r="A23" s="19" t="s">
        <v>65</v>
      </c>
      <c r="B23" s="25">
        <f>B22/Assumptions!B31</f>
        <v>4.141640453939392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4.86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7.983239073719217</v>
      </c>
    </row>
    <row r="29" spans="1:2" x14ac:dyDescent="0.25">
      <c r="A29" s="19" t="s">
        <v>73</v>
      </c>
      <c r="B29" s="12">
        <f>B28/B26-1</f>
        <v>0.6426417847158881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0.018552</v>
      </c>
      <c r="B5" s="31">
        <v>41.25703441138415</v>
      </c>
      <c r="C5" s="31" t="s">
        <v>76</v>
      </c>
      <c r="D5" s="31" t="s">
        <v>76</v>
      </c>
      <c r="E5" s="31" t="s">
        <v>76</v>
      </c>
      <c r="F5" s="31" t="s">
        <v>76</v>
      </c>
    </row>
    <row r="6" spans="1:6" x14ac:dyDescent="0.25">
      <c r="A6" s="30">
        <v>0.028552</v>
      </c>
      <c r="B6" s="31">
        <v>9.990340973311456</v>
      </c>
      <c r="C6" s="31">
        <v>14.84083883120572</v>
      </c>
      <c r="D6" s="31">
        <v>33.315237051687134</v>
      </c>
      <c r="E6" s="31" t="s">
        <v>76</v>
      </c>
      <c r="F6" s="31" t="s">
        <v>76</v>
      </c>
    </row>
    <row r="7" spans="1:6" x14ac:dyDescent="0.25">
      <c r="A7" s="30">
        <v>0.038552</v>
      </c>
      <c r="B7" s="31">
        <v>5.267636836603635</v>
      </c>
      <c r="C7" s="31">
        <v>6.262413568725227</v>
      </c>
      <c r="D7" s="32">
        <v>7.98325968581834</v>
      </c>
      <c r="E7" s="31">
        <v>11.703683229811515</v>
      </c>
      <c r="F7" s="31">
        <v>25.86784563187054</v>
      </c>
    </row>
    <row r="8" spans="1:6" x14ac:dyDescent="0.25">
      <c r="A8" s="30">
        <v>0.048552</v>
      </c>
      <c r="B8" s="31">
        <v>3.3553234275125696</v>
      </c>
      <c r="C8" s="31">
        <v>3.6863634311398172</v>
      </c>
      <c r="D8" s="31">
        <v>4.153565391547221</v>
      </c>
      <c r="E8" s="31">
        <v>4.86702144714047</v>
      </c>
      <c r="F8" s="31">
        <v>6.0992973762392</v>
      </c>
    </row>
    <row r="9" spans="1:6" x14ac:dyDescent="0.25">
      <c r="A9" s="30">
        <v>0.058552</v>
      </c>
      <c r="B9" s="31">
        <v>2.317727777793423</v>
      </c>
      <c r="C9" s="31">
        <v>2.442106818871295</v>
      </c>
      <c r="D9" s="31">
        <v>2.6006002215544846</v>
      </c>
      <c r="E9" s="31">
        <v>2.811130212800116</v>
      </c>
      <c r="F9" s="31">
        <v>3.1068383019677586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77</v>
      </c>
    </row>
    <row r="2" spans="1:1" x14ac:dyDescent="0.25">
      <c r="A2" s="3" t="s">
        <v>78</v>
      </c>
    </row>
    <row r="4" spans="1:6" x14ac:dyDescent="0.25">
      <c r="A4" s="16" t="s">
        <v>79</v>
      </c>
      <c r="B4" s="17" t="s">
        <v>80</v>
      </c>
      <c r="C4" s="17" t="s">
        <v>81</v>
      </c>
      <c r="D4" s="17" t="s">
        <v>82</v>
      </c>
      <c r="E4" s="17" t="s">
        <v>83</v>
      </c>
      <c r="F4" s="33" t="s">
        <v>84</v>
      </c>
    </row>
    <row r="5" spans="1:6" x14ac:dyDescent="0.25">
      <c r="A5" t="s">
        <v>43</v>
      </c>
      <c r="B5" s="18">
        <v>22507000000</v>
      </c>
      <c r="C5" s="18">
        <v>22717000000</v>
      </c>
      <c r="D5" s="18">
        <v>22537000000</v>
      </c>
      <c r="E5" s="18">
        <v>22365000000</v>
      </c>
      <c r="F5" s="8" t="s">
        <v>85</v>
      </c>
    </row>
    <row r="6" spans="1:6" x14ac:dyDescent="0.25">
      <c r="A6" t="s">
        <v>44</v>
      </c>
      <c r="B6" s="18">
        <v>3387000000</v>
      </c>
      <c r="C6" s="18">
        <v>3312000000</v>
      </c>
      <c r="D6" s="18">
        <v>2746000000</v>
      </c>
      <c r="E6" s="18">
        <v>2758000000</v>
      </c>
      <c r="F6" s="8" t="s">
        <v>86</v>
      </c>
    </row>
    <row r="7" spans="1:6" x14ac:dyDescent="0.25">
      <c r="A7" t="s">
        <v>87</v>
      </c>
      <c r="B7" s="18">
        <v>4839000000</v>
      </c>
      <c r="C7" s="18">
        <v>4691000000</v>
      </c>
      <c r="D7" s="18">
        <v>4479000000</v>
      </c>
      <c r="E7" s="18">
        <v>4470000000</v>
      </c>
      <c r="F7" s="8" t="s">
        <v>88</v>
      </c>
    </row>
    <row r="8" spans="1:6" x14ac:dyDescent="0.25">
      <c r="A8" t="s">
        <v>89</v>
      </c>
      <c r="B8" s="18">
        <v>3905000000</v>
      </c>
      <c r="C8" s="18">
        <v>3874000000</v>
      </c>
      <c r="D8" s="18">
        <v>5064000000</v>
      </c>
      <c r="E8" s="18">
        <v>3870000000</v>
      </c>
      <c r="F8" s="8" t="s">
        <v>90</v>
      </c>
    </row>
    <row r="9" spans="1:6" x14ac:dyDescent="0.25">
      <c r="A9" t="s">
        <v>91</v>
      </c>
      <c r="B9" s="18">
        <v>-294000000</v>
      </c>
      <c r="C9" s="18">
        <v>111000000</v>
      </c>
      <c r="D9" s="18">
        <v>125000000</v>
      </c>
      <c r="E9" s="18">
        <v>0</v>
      </c>
      <c r="F9" s="8" t="s">
        <v>92</v>
      </c>
    </row>
    <row r="10" spans="1:6" x14ac:dyDescent="0.25">
      <c r="A10" t="s">
        <v>93</v>
      </c>
      <c r="B10" s="18">
        <v>18603000000</v>
      </c>
      <c r="C10" s="18">
        <v>17995000000</v>
      </c>
      <c r="D10" s="18">
        <v>16968000000</v>
      </c>
      <c r="E10" s="18">
        <v>15866000000</v>
      </c>
      <c r="F10" s="8" t="s">
        <v>94</v>
      </c>
    </row>
    <row r="11" spans="1:6" x14ac:dyDescent="0.25">
      <c r="A11" t="s">
        <v>95</v>
      </c>
      <c r="B11" s="18">
        <v>1103000000</v>
      </c>
      <c r="C11" s="18">
        <v>1012000000</v>
      </c>
      <c r="D11" s="18">
        <v>1046000000</v>
      </c>
      <c r="E11" s="18">
        <v>932000000</v>
      </c>
      <c r="F11" s="8" t="s">
        <v>96</v>
      </c>
    </row>
    <row r="12" spans="1:6" x14ac:dyDescent="0.25">
      <c r="A12" t="s">
        <v>32</v>
      </c>
      <c r="B12" s="34">
        <v>11269000000</v>
      </c>
      <c r="C12" s="34">
        <v>11553191489</v>
      </c>
      <c r="D12" s="34">
        <v>11585714286</v>
      </c>
      <c r="E12" s="34">
        <v>11543000000</v>
      </c>
      <c r="F12" s="8" t="s">
        <v>97</v>
      </c>
    </row>
    <row r="15" spans="1:1" x14ac:dyDescent="0.25">
      <c r="A15" s="19" t="s">
        <v>98</v>
      </c>
    </row>
    <row r="16" ht="54" customHeight="1" spans="1:6" x14ac:dyDescent="0.25">
      <c r="A16" s="35" t="s">
        <v>99</v>
      </c>
      <c r="B16" s="35"/>
      <c r="C16" s="35"/>
      <c r="D16" s="35"/>
      <c r="E16" s="35"/>
      <c r="F16" s="35"/>
    </row>
    <row r="17" ht="22" customHeight="1" spans="1:6" x14ac:dyDescent="0.25">
      <c r="A17" s="35" t="s">
        <v>100</v>
      </c>
      <c r="B17" s="35"/>
      <c r="C17" s="35"/>
      <c r="D17" s="35"/>
      <c r="E17" s="35"/>
      <c r="F17" s="35"/>
    </row>
    <row r="18" ht="22" customHeight="1" spans="1:6" x14ac:dyDescent="0.25">
      <c r="A18" s="35" t="s">
        <v>101</v>
      </c>
      <c r="B18" s="35"/>
      <c r="C18" s="35"/>
      <c r="D18" s="35"/>
      <c r="E18" s="35"/>
      <c r="F18" s="35"/>
    </row>
    <row r="20" spans="1:1" x14ac:dyDescent="0.25">
      <c r="A20" s="36" t="s">
        <v>102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2026-09-19T00:06:10Z</dcterms:modified>
</cp:coreProperties>
</file>