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<sst xmlns="http://schemas.openxmlformats.org/spreadsheetml/2006/main" count="120" uniqueCount="107">
  <si>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Thermo Fisher Scientific Inc. (TMO)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</si>
  <si>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</si>
  <si>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</si>
  <si>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</si>
  <si>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</si>
  <si>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</si>
  <si>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</si>
  <si>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</si>
  <si>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</si>
  <si>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</si>
  <si>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</si>
  <si>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</si>
  <si>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</si>
  <si>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</si>
  <si>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</si>
  <si>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</si>
  <si>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</si>
  <si>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</si>
  <si>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</si>
  <si>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</si>
  <si>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</si>
  <si>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</si>
  <si>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</si>
  <si>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</si>
  <si>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5.7x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</si>
  <si>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</si>
  <si>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</si>
  <si>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</si>
  <si>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</si>
  <si>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</si>
  <si>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</si>
  <si>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</si>
  <si>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</si>
  <si>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</si>
  <si>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</si>
  <si>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</si>
  <si>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</si>
  <si>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</si>
  <si>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</si>
  <si>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</si>
  <si>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</si>
  <si>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</si>
  <si>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</si>
  <si>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</si>
  <si>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</si>
  <si>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</si>
  <si>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</si>
  <si>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</si>
  <si>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</si>
  <si>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</si>
  <si>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</si>
  <si>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</si>
  <si>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</si>
  <si>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</si>
  <si>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</si>
  <si>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</si>
  <si>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</si>
  <si>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</si>
  <si>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</si>
  <si>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</si>
  <si>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</si>
  <si>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</si>
  <si>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</si>
  <si>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</si>
  <si>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</si>
  <si>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</si>
  <si>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</si>
  <si>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</si>
  <si>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</si>
  <si>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</si>
  <si>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</si>
  <si>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</si>
  <si>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</si>
  <si>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</si>
  <si>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</si>
  <si>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</si>
  <si>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</si>
  <si>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</si>
  <si>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</si>
  <si>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</si>
  <si>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</si>
  <si>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</si>
  <si>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</si>
  <si>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</si>
  <si>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</si>
  <si>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</si>
  <si>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</si>
  <si>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</si>
  <si>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</si>
  <si>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</si>
  <si>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</si>
  <si>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</si>
  <si>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</si>
  <si>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</si>
  <si>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</si>
  <si>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</si>
  <si>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</si>
  <si>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</si>
  <si>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</si>
  <si>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</si>
  <si>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</si>
  <si>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</si>
  <si>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</si>
  <si>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</si>
  <si>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</si>
  <si>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26.4x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</si>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</sst>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0.07732942882150962</v>
      </c>
    </row>
    <row r="7" spans="1:2" x14ac:dyDescent="0.25">
      <c r="A7" t="s">
        <v>4</v>
      </c>
      <c r="B7" s="5">
        <v>0.18053542598505135</v>
      </c>
    </row>
    <row r="8" spans="1:2" x14ac:dyDescent="0.25">
      <c r="A8" t="s">
        <v>5</v>
      </c>
      <c r="B8" s="5">
        <v>0.082287535160915</v>
      </c>
    </row>
    <row r="9" spans="1:2" x14ac:dyDescent="0.25">
      <c r="A9" t="s">
        <v>6</v>
      </c>
      <c r="B9" s="5">
        <v>0.07240603615129768</v>
      </c>
    </row>
    <row r="10" spans="1:3" x14ac:dyDescent="0.25">
      <c r="A10" t="s">
        <v>7</v>
      </c>
      <c r="B10" s="5">
        <v>0.03783118163349579</v>
      </c>
      <c r="C10" s="6" t="s">
        <v>8</v>
      </c>
    </row>
    <row r="11" spans="1:2" x14ac:dyDescent="0.25">
      <c r="A11" t="s">
        <v>9</v>
      </c>
      <c r="B11" s="5">
        <v>0.23776124690730205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0.0849163088270278</v>
      </c>
      <c r="C14" s="6" t="s">
        <v>13</v>
      </c>
    </row>
    <row r="15" spans="1:3" x14ac:dyDescent="0.25">
      <c r="A15" t="s">
        <v>14</v>
      </c>
      <c r="B15" s="5">
        <v>0.024349391231883583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0.91759</v>
      </c>
      <c r="C19" s="6" t="s">
        <v>21</v>
      </c>
    </row>
    <row r="20" spans="1:2" x14ac:dyDescent="0.25">
      <c r="A20" t="s">
        <v>22</v>
      </c>
      <c r="B20" s="9">
        <f>B17+B19*B18</f>
        <v>0.087754057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258249555968</v>
      </c>
    </row>
    <row r="23" spans="1:2" x14ac:dyDescent="0.25">
      <c r="A23" t="s">
        <v>26</v>
      </c>
      <c r="B23" s="10">
        <v>39385000000</v>
      </c>
    </row>
    <row r="24" spans="1:2" x14ac:dyDescent="0.25">
      <c r="A24" t="s">
        <v>27</v>
      </c>
      <c r="B24" s="9">
        <f>B22/(B22+B23)</f>
        <v>0.8676732952868736</v>
      </c>
    </row>
    <row r="25" spans="1:2" x14ac:dyDescent="0.25">
      <c r="A25" t="s">
        <v>28</v>
      </c>
      <c r="B25" s="9">
        <f>1-B24</f>
        <v>0.13232670471312635</v>
      </c>
    </row>
    <row r="26" spans="1:2" x14ac:dyDescent="0.25">
      <c r="A26" t="s">
        <v>29</v>
      </c>
      <c r="B26" s="11">
        <f>B24*B20+B25*B21*(1-B8)</f>
        <v>0.08293508605539511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44557000000</v>
      </c>
      <c r="C29" s="6" t="s">
        <v>32</v>
      </c>
    </row>
    <row r="30" spans="1:2" x14ac:dyDescent="0.25">
      <c r="A30" t="s">
        <v>33</v>
      </c>
      <c r="B30" s="10">
        <v>29280000000</v>
      </c>
    </row>
    <row r="31" spans="1:2" x14ac:dyDescent="0.25">
      <c r="A31" t="s">
        <v>34</v>
      </c>
      <c r="B31" s="12">
        <v>378000000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0.07732942882150962</v>
      </c>
      <c r="C5" s="5">
        <v>0.052670190347085644</v>
      </c>
      <c r="D5" s="5">
        <v>0.04921141655369994</v>
      </c>
      <c r="E5" s="5">
        <v>0.04575264276031423</v>
      </c>
      <c r="F5" s="5">
        <v>0.04229386896692853</v>
      </c>
      <c r="G5" s="5">
        <v>0.03883509517354282</v>
      </c>
      <c r="H5" s="5">
        <v>0.035376321380157116</v>
      </c>
      <c r="I5" s="5">
        <v>0.031917547586771414</v>
      </c>
      <c r="J5" s="5">
        <v>0.028458773793385708</v>
      </c>
      <c r="K5" s="5">
        <v>0.025</v>
      </c>
    </row>
    <row r="6" spans="1:11" x14ac:dyDescent="0.25">
      <c r="A6" t="s">
        <v>50</v>
      </c>
      <c r="B6" s="18">
        <f>Assumptions!B29*(1+B5)</f>
        <v>48002567360.00001</v>
      </c>
      <c r="C6" s="18">
        <f>B6*(1+C5)</f>
        <v>50530871720.00001</v>
      </c>
      <c r="D6" s="18">
        <f>C6*(1+D5)</f>
        <v>53017567497.0345</v>
      </c>
      <c r="E6" s="18">
        <f>D6*(1+E5)</f>
        <v>55443261322.74717</v>
      </c>
      <c r="F6" s="18">
        <f>E6*(1+F5)</f>
        <v>57788171352.23061</v>
      </c>
      <c r="G6" s="18">
        <f>F6*(1+G5)</f>
        <v>60032380486.59949</v>
      </c>
      <c r="H6" s="18">
        <f>G6*(1+H5)</f>
        <v>62156105271.909294</v>
      </c>
      <c r="I6" s="18">
        <f>H6*(1+I5)</f>
        <v>64139975719.73383</v>
      </c>
      <c r="J6" s="18">
        <f>I6*(1+J5)</f>
        <v>65965320779.85499</v>
      </c>
      <c r="K6" s="18">
        <f>J6*(1+K5)</f>
        <v>67614453799.35136</v>
      </c>
    </row>
    <row r="7" spans="1:11" x14ac:dyDescent="0.25">
      <c r="A7" t="s">
        <v>4</v>
      </c>
      <c r="B7" s="9">
        <f>Assumptions!B7</f>
        <v>0.18053542598505135</v>
      </c>
      <c r="C7" s="9">
        <f>Assumptions!B7</f>
        <v>0.18053542598505135</v>
      </c>
      <c r="D7" s="9">
        <f>Assumptions!B7</f>
        <v>0.18053542598505135</v>
      </c>
      <c r="E7" s="9">
        <f>Assumptions!B7</f>
        <v>0.18053542598505135</v>
      </c>
      <c r="F7" s="9">
        <f>Assumptions!B7</f>
        <v>0.18053542598505135</v>
      </c>
      <c r="G7" s="9">
        <f>Assumptions!B7</f>
        <v>0.18053542598505135</v>
      </c>
      <c r="H7" s="9">
        <f>Assumptions!B7</f>
        <v>0.18053542598505135</v>
      </c>
      <c r="I7" s="9">
        <f>Assumptions!B7</f>
        <v>0.18053542598505135</v>
      </c>
      <c r="J7" s="9">
        <f>Assumptions!B7</f>
        <v>0.18053542598505135</v>
      </c>
      <c r="K7" s="9">
        <f>Assumptions!B7</f>
        <v>0.18053542598505135</v>
      </c>
    </row>
    <row r="8" spans="1:11" x14ac:dyDescent="0.25">
      <c r="A8" t="s">
        <v>51</v>
      </c>
      <c r="B8" s="18">
        <f>B6*B7</f>
        <v>8666163946.713722</v>
      </c>
      <c r="C8" s="18">
        <f>C6*C7</f>
        <v>9122612451.366186</v>
      </c>
      <c r="D8" s="18">
        <f>D6*D7</f>
        <v>9571549132.768335</v>
      </c>
      <c r="E8" s="18">
        <f>E6*E7</f>
        <v>10009472800.902681</v>
      </c>
      <c r="F8" s="18">
        <f>F6*F7</f>
        <v>10432812131.972094</v>
      </c>
      <c r="G8" s="18">
        <f>G6*G7</f>
        <v>10837971384.044922</v>
      </c>
      <c r="H8" s="18">
        <f>H6*H7</f>
        <v>11221378942.83584</v>
      </c>
      <c r="I8" s="18">
        <f>I6*I7</f>
        <v>11579537839.232998</v>
      </c>
      <c r="J8" s="18">
        <f>J6*J7</f>
        <v>11909077287.23168</v>
      </c>
      <c r="K8" s="18">
        <f>K6*K7</f>
        <v>12206804219.41247</v>
      </c>
    </row>
    <row r="9" spans="1:11" x14ac:dyDescent="0.25">
      <c r="A9" t="s">
        <v>52</v>
      </c>
      <c r="B9" s="18">
        <f>B8*(1-Assumptions!B8)</f>
        <v>7953046676.238263</v>
      </c>
      <c r="C9" s="18">
        <f>C8*(1-Assumptions!B8)</f>
        <v>8371935158.51499</v>
      </c>
      <c r="D9" s="18">
        <f>D8*(1-Assumptions!B8)</f>
        <v>8783929946.961235</v>
      </c>
      <c r="E9" s="18">
        <f>E8*(1-Assumptions!B8)</f>
        <v>9185817955.85618</v>
      </c>
      <c r="F9" s="18">
        <f>F8*(1-Assumptions!B8)</f>
        <v>9574321736.835218</v>
      </c>
      <c r="G9" s="18">
        <f>G8*(1-Assumptions!B8)</f>
        <v>9946141432.707335</v>
      </c>
      <c r="H9" s="18">
        <f>H8*(1-Assumptions!B8)</f>
        <v>10297999328.523285</v>
      </c>
      <c r="I9" s="18">
        <f>I8*(1-Assumptions!B8)</f>
        <v>10626686212.139967</v>
      </c>
      <c r="J9" s="18">
        <f>J8*(1-Assumptions!B8)</f>
        <v>10929108671.224548</v>
      </c>
      <c r="K9" s="18">
        <f>K8*(1-Assumptions!B8)</f>
        <v>11202336388.005161</v>
      </c>
    </row>
    <row r="10" spans="1:11" x14ac:dyDescent="0.25">
      <c r="A10" t="s">
        <v>53</v>
      </c>
      <c r="B10" s="18">
        <f>B6*Assumptions!B9</f>
        <v>3475675627.6232624</v>
      </c>
      <c r="C10" s="18">
        <f>C6*Assumptions!B9</f>
        <v>3658740124.514906</v>
      </c>
      <c r="D10" s="18">
        <f>D6*Assumptions!B9</f>
        <v>3838791908.844145</v>
      </c>
      <c r="E10" s="18">
        <f>E6*Assumptions!B9</f>
        <v>4014426783.680676</v>
      </c>
      <c r="F10" s="18">
        <f>F6*Assumptions!B9</f>
        <v>4184212424.0469947</v>
      </c>
      <c r="G10" s="18">
        <f>G6*Assumptions!B9</f>
        <v>4346706711.76118</v>
      </c>
      <c r="H10" s="18">
        <f>H6*Assumptions!B9</f>
        <v>4500477205.341728</v>
      </c>
      <c r="I10" s="18">
        <f>I6*Assumptions!B9</f>
        <v>4644121400.706403</v>
      </c>
      <c r="J10" s="18">
        <f>J6*Assumptions!B9</f>
        <v>4776287401.118128</v>
      </c>
      <c r="K10" s="18">
        <f>K6*Assumptions!B9</f>
        <v>4895694586.146081</v>
      </c>
    </row>
    <row r="11" spans="1:11" x14ac:dyDescent="0.25">
      <c r="A11" t="s">
        <v>54</v>
      </c>
      <c r="B11" s="18">
        <f>-B6*B19</f>
        <v>-1815993844.6702766</v>
      </c>
      <c r="C11" s="18">
        <f>-C6*C19</f>
        <v>-2182710098.174044</v>
      </c>
      <c r="D11" s="18">
        <f>-D6*D19</f>
        <v>-2574531482.316073</v>
      </c>
      <c r="E11" s="18">
        <f>-E6*E19</f>
        <v>-2989742607.525384</v>
      </c>
      <c r="F11" s="18">
        <f>-F6*F19</f>
        <v>-3426188917.252603</v>
      </c>
      <c r="G11" s="18">
        <f>-G6*G19</f>
        <v>-3881282639.900889</v>
      </c>
      <c r="H11" s="18">
        <f>-H6*H19</f>
        <v>-4352017988.690238</v>
      </c>
      <c r="I11" s="18">
        <f>-I6*I19</f>
        <v>-4834995839.696325</v>
      </c>
      <c r="J11" s="18">
        <f>-J6*J19</f>
        <v>-5326457872.683875</v>
      </c>
      <c r="K11" s="18">
        <f>-K6*K19</f>
        <v>-5822329899.096984</v>
      </c>
    </row>
    <row r="12" spans="1:11" x14ac:dyDescent="0.25">
      <c r="A12" t="s">
        <v>55</v>
      </c>
      <c r="B12" s="18">
        <f>-(B6-Assumptions!B29)*Assumptions!B11</f>
        <v>-819222391.8167027</v>
      </c>
      <c r="C12" s="18">
        <f>-(C6-B6)*Assumptions!B11</f>
        <v>-601132797.1947683</v>
      </c>
      <c r="D12" s="18">
        <f>-(D6-C6)*Assumptions!B11</f>
        <v>-591239888.6268433</v>
      </c>
      <c r="E12" s="18">
        <f>-(E6-D6)*Assumptions!B11</f>
        <v>-576735988.616788</v>
      </c>
      <c r="F12" s="18">
        <f>-(F6-E6)*Assumptions!B11</f>
        <v>-557528732.4954221</v>
      </c>
      <c r="G12" s="18">
        <f>-(G6-F6)*Assumptions!B11</f>
        <v>-533585962.1083003</v>
      </c>
      <c r="H12" s="18">
        <f>-(H6-G6)*Assumptions!B11</f>
        <v>-504939453.04320204</v>
      </c>
      <c r="I12" s="18">
        <f>-(I6-H6)*Assumptions!B11</f>
        <v>-471687511.37731016</v>
      </c>
      <c r="J12" s="18">
        <f>-(J6-I6)*Assumptions!B11</f>
        <v>-433996317.53049</v>
      </c>
      <c r="K12" s="18">
        <f>-(K6-J6)*Assumptions!B11</f>
        <v>-392099923.0314606</v>
      </c>
    </row>
    <row r="13" spans="1:11" x14ac:dyDescent="0.25">
      <c r="A13" s="19" t="s">
        <v>56</v>
      </c>
      <c r="B13" s="20">
        <f>B9+B10+B11+B12</f>
        <v>8793506067.374548</v>
      </c>
      <c r="C13" s="20">
        <f>C9+C10+C11+C12</f>
        <v>9246832387.661083</v>
      </c>
      <c r="D13" s="20">
        <f>D9+D10+D11+D12</f>
        <v>9456950484.862465</v>
      </c>
      <c r="E13" s="20">
        <f>E9+E10+E11+E12</f>
        <v>9633766143.394682</v>
      </c>
      <c r="F13" s="20">
        <f>F9+F10+F11+F12</f>
        <v>9774816511.134188</v>
      </c>
      <c r="G13" s="20">
        <f>G9+G10+G11+G12</f>
        <v>9877979542.459324</v>
      </c>
      <c r="H13" s="20">
        <f>H9+H10+H11+H12</f>
        <v>9941519092.131573</v>
      </c>
      <c r="I13" s="20">
        <f>I9+I10+I11+I12</f>
        <v>9964124261.772736</v>
      </c>
      <c r="J13" s="20">
        <f>J9+J10+J11+J12</f>
        <v>9944941882.128311</v>
      </c>
      <c r="K13" s="20">
        <f>K9+K10+K11+K12</f>
        <v>9883601152.022797</v>
      </c>
    </row>
    <row r="14" spans="1:11" x14ac:dyDescent="0.25">
      <c r="A14" t="s">
        <v>57</v>
      </c>
      <c r="B14" s="21">
        <f>1/(1+Assumptions!$B$26)^(1-0.5*Assumptions!$B$32)</f>
        <v>0.9609455670460282</v>
      </c>
      <c r="C14" s="21">
        <f>1/(1+Assumptions!$B$26)^(2-0.5*Assumptions!$B$32)</f>
        <v>0.8873528796137586</v>
      </c>
      <c r="D14" s="21">
        <f>1/(1+Assumptions!$B$26)^(3-0.5*Assumptions!$B$32)</f>
        <v>0.8193961863826509</v>
      </c>
      <c r="E14" s="21">
        <f>1/(1+Assumptions!$B$26)^(4-0.5*Assumptions!$B$32)</f>
        <v>0.7566438625304054</v>
      </c>
      <c r="F14" s="21">
        <f>1/(1+Assumptions!$B$26)^(5-0.5*Assumptions!$B$32)</f>
        <v>0.6986973386248758</v>
      </c>
      <c r="G14" s="21">
        <f>1/(1+Assumptions!$B$26)^(6-0.5*Assumptions!$B$32)</f>
        <v>0.6451885691227254</v>
      </c>
      <c r="H14" s="21">
        <f>1/(1+Assumptions!$B$26)^(7-0.5*Assumptions!$B$32)</f>
        <v>0.5957776947396108</v>
      </c>
      <c r="I14" s="21">
        <f>1/(1+Assumptions!$B$26)^(8-0.5*Assumptions!$B$32)</f>
        <v>0.5501508838445145</v>
      </c>
      <c r="J14" s="21">
        <f>1/(1+Assumptions!$B$26)^(9-0.5*Assumptions!$B$32)</f>
        <v>0.5080183391679054</v>
      </c>
      <c r="K14" s="21">
        <f>1/(1+Assumptions!$B$26)^(10-0.5*Assumptions!$B$32)</f>
        <v>0.4691124571634009</v>
      </c>
    </row>
    <row r="15" spans="1:11" x14ac:dyDescent="0.25">
      <c r="A15" s="19" t="s">
        <v>58</v>
      </c>
      <c r="B15" s="20">
        <f>B13*B14</f>
        <v>8450080674.235925</v>
      </c>
      <c r="C15" s="20">
        <f>C13*C14</f>
        <v>8205203346.49683</v>
      </c>
      <c r="D15" s="20">
        <f>D13*D14</f>
        <v>7748989162.105865</v>
      </c>
      <c r="E15" s="20">
        <f>E13*E14</f>
        <v>7289330025.4528</v>
      </c>
      <c r="F15" s="20">
        <f>F13*F14</f>
        <v>6829638281.875951</v>
      </c>
      <c r="G15" s="20">
        <f>G13*G14</f>
        <v>6373159486.822885</v>
      </c>
      <c r="H15" s="20">
        <f>H13*H14</f>
        <v>5922935326.919977</v>
      </c>
      <c r="I15" s="20">
        <f>I13*I14</f>
        <v>5481771769.350841</v>
      </c>
      <c r="J15" s="20">
        <f>J13*J14</f>
        <v>5052212858.080168</v>
      </c>
      <c r="K15" s="20">
        <f>K13*K14</f>
        <v>4636520422.048434</v>
      </c>
    </row>
    <row r="17" spans="1:2" x14ac:dyDescent="0.25">
      <c r="A17" s="22" t="s">
        <v>59</v>
      </c>
      <c r="B17" s="23">
        <f>SUM(B15:K15)</f>
        <v>65989841353.38967</v>
      </c>
    </row>
    <row r="19" spans="1:11" x14ac:dyDescent="0.25">
      <c r="A19" t="s">
        <v>7</v>
      </c>
      <c r="B19" s="9">
        <f>Assumptions!$B$10+($B$20-Assumptions!$B$10)*0/9</f>
        <v>0.03783118163349579</v>
      </c>
      <c r="C19" s="9">
        <f>Assumptions!$B$10+($B$20-Assumptions!$B$10)*1/9</f>
        <v>0.04319557577135825</v>
      </c>
      <c r="D19" s="9">
        <f>Assumptions!$B$10+($B$20-Assumptions!$B$10)*2/9</f>
        <v>0.04855996990922071</v>
      </c>
      <c r="E19" s="9">
        <f>Assumptions!$B$10+($B$20-Assumptions!$B$10)*3/9</f>
        <v>0.053924364047083166</v>
      </c>
      <c r="F19" s="9">
        <f>Assumptions!$B$10+($B$20-Assumptions!$B$10)*4/9</f>
        <v>0.059288758184945625</v>
      </c>
      <c r="G19" s="9">
        <f>Assumptions!$B$10+($B$20-Assumptions!$B$10)*5/9</f>
        <v>0.06465315232280809</v>
      </c>
      <c r="H19" s="9">
        <f>Assumptions!$B$10+($B$20-Assumptions!$B$10)*6/9</f>
        <v>0.07001754646067054</v>
      </c>
      <c r="I19" s="9">
        <f>Assumptions!$B$10+($B$20-Assumptions!$B$10)*7/9</f>
        <v>0.07538194059853301</v>
      </c>
      <c r="J19" s="9">
        <f>Assumptions!$B$10+($B$20-Assumptions!$B$10)*8/9</f>
        <v>0.08074633473639548</v>
      </c>
      <c r="K19" s="9">
        <f>Assumptions!$B$10+($B$20-Assumptions!$B$10)*9/9</f>
        <v>0.08611072887425793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0.08611072887425793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9883601152.022797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14184281339.411938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0.29440752130340847</v>
      </c>
    </row>
    <row r="7" spans="1:2" x14ac:dyDescent="0.25">
      <c r="A7" t="s">
        <v>66</v>
      </c>
      <c r="B7" s="18">
        <f>-MAX(B5,0)*B6</f>
        <v>-4175959110.606459</v>
      </c>
    </row>
    <row r="8" spans="1:2" x14ac:dyDescent="0.25">
      <c r="A8" t="s">
        <v>67</v>
      </c>
      <c r="B8" s="18">
        <f>IF(OR(Assumptions!$B$33=0,Assumptions!B12&lt;=0),B5,MAX(B5+B7,0))</f>
        <v>10008322228.80548</v>
      </c>
    </row>
    <row r="9" spans="1:2" x14ac:dyDescent="0.25">
      <c r="A9" t="s">
        <v>68</v>
      </c>
      <c r="B9" s="18">
        <f>B8*(1+Assumptions!B12)/(Assumptions!B26-Assumptions!B12)</f>
        <v>177069388914.29</v>
      </c>
    </row>
    <row r="10" spans="1:2" x14ac:dyDescent="0.25">
      <c r="A10" t="s">
        <v>69</v>
      </c>
      <c r="B10" s="18">
        <f>B9/(1+Assumptions!B26)^(10-0.5*Assumptions!B32)</f>
        <v>83065456122.00444</v>
      </c>
    </row>
    <row r="11" spans="1:2" x14ac:dyDescent="0.25">
      <c r="A11" t="s">
        <v>70</v>
      </c>
      <c r="B11" s="18">
        <f>Forecast!B17+B10</f>
        <v>149055297475.3941</v>
      </c>
    </row>
    <row r="12" spans="1:2" x14ac:dyDescent="0.25">
      <c r="A12" t="s">
        <v>71</v>
      </c>
      <c r="B12" s="18">
        <f>-Assumptions!B30</f>
        <v>-29280000000</v>
      </c>
    </row>
    <row r="13" spans="1:2" x14ac:dyDescent="0.25">
      <c r="A13" t="s">
        <v>72</v>
      </c>
      <c r="B13" s="18">
        <f>B11+B12</f>
        <v>119775297475.3941</v>
      </c>
    </row>
    <row r="14" spans="1:2" x14ac:dyDescent="0.25">
      <c r="A14" s="19" t="s">
        <v>73</v>
      </c>
      <c r="B14" s="24">
        <f>B13/Assumptions!B31</f>
        <v>316.86586633702143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17102498805.558552</v>
      </c>
    </row>
    <row r="18" spans="1:2" x14ac:dyDescent="0.25">
      <c r="A18" t="s">
        <v>68</v>
      </c>
      <c r="B18" s="18">
        <f>B17*Assumptions!B13</f>
        <v>342049976111.171</v>
      </c>
    </row>
    <row r="19" spans="1:2" x14ac:dyDescent="0.25">
      <c r="A19" t="s">
        <v>69</v>
      </c>
      <c r="B19" s="18">
        <f>B18/(1+Assumptions!B26)^(10-0.5*Assumptions!B32)</f>
        <v>160459904766.194</v>
      </c>
    </row>
    <row r="20" spans="1:2" x14ac:dyDescent="0.25">
      <c r="A20" t="s">
        <v>70</v>
      </c>
      <c r="B20" s="18">
        <f>Forecast!B17+B19</f>
        <v>226449746119.58368</v>
      </c>
    </row>
    <row r="21" spans="1:2" x14ac:dyDescent="0.25">
      <c r="A21" t="s">
        <v>71</v>
      </c>
      <c r="B21" s="18">
        <f>-Assumptions!B30</f>
        <v>-29280000000</v>
      </c>
    </row>
    <row r="22" spans="1:2" x14ac:dyDescent="0.25">
      <c r="A22" t="s">
        <v>72</v>
      </c>
      <c r="B22" s="18">
        <f>B20+B21</f>
        <v>197169746119.58368</v>
      </c>
    </row>
    <row r="23" spans="1:2" x14ac:dyDescent="0.25">
      <c r="A23" s="19" t="s">
        <v>73</v>
      </c>
      <c r="B23" s="25">
        <f>B22/Assumptions!B31</f>
        <v>521.6130849724436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697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316.86586633702143</v>
      </c>
    </row>
    <row r="29" spans="1:2" x14ac:dyDescent="0.25">
      <c r="A29" s="19" t="s">
        <v>81</v>
      </c>
      <c r="B29" s="11">
        <f>B28/B26-1</f>
        <v>-0.5453861315107297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0.062935</v>
      </c>
      <c r="B5" s="31">
        <v>492.28608917631755</v>
      </c>
      <c r="C5" s="31">
        <v>500.84774275082736</v>
      </c>
      <c r="D5" s="31">
        <v>513.1122510993257</v>
      </c>
      <c r="E5" s="31">
        <v>530.7660517991566</v>
      </c>
      <c r="F5" s="31">
        <v>556.7029835927577</v>
      </c>
    </row>
    <row r="6" spans="1:6" x14ac:dyDescent="0.25">
      <c r="A6" s="30">
        <v>0.072935</v>
      </c>
      <c r="B6" s="31">
        <v>394.48961207897463</v>
      </c>
      <c r="C6" s="31">
        <v>394.051653874709</v>
      </c>
      <c r="D6" s="31">
        <v>394.6035881590807</v>
      </c>
      <c r="E6" s="31">
        <v>396.49124903782047</v>
      </c>
      <c r="F6" s="31">
        <v>400.24280044701715</v>
      </c>
    </row>
    <row r="7" spans="1:6" x14ac:dyDescent="0.25">
      <c r="A7" s="30">
        <v>0.082935</v>
      </c>
      <c r="B7" s="31">
        <v>325.5399131225305</v>
      </c>
      <c r="C7" s="31">
        <v>321.1582747118871</v>
      </c>
      <c r="D7" s="32">
        <v>316.8664204075043</v>
      </c>
      <c r="E7" s="31">
        <v>312.68979200769917</v>
      </c>
      <c r="F7" s="31">
        <v>308.66444643473454</v>
      </c>
    </row>
    <row r="8" spans="1:6" x14ac:dyDescent="0.25">
      <c r="A8" s="30">
        <v>0.092935</v>
      </c>
      <c r="B8" s="31">
        <v>278.97780662126837</v>
      </c>
      <c r="C8" s="31">
        <v>274.738319937433</v>
      </c>
      <c r="D8" s="31">
        <v>270.4988332535977</v>
      </c>
      <c r="E8" s="31">
        <v>266.25934656976233</v>
      </c>
      <c r="F8" s="31">
        <v>262.01985988592696</v>
      </c>
    </row>
    <row r="9" spans="1:6" x14ac:dyDescent="0.25">
      <c r="A9" s="30">
        <v>0.102935</v>
      </c>
      <c r="B9" s="31">
        <v>242.84765395837354</v>
      </c>
      <c r="C9" s="31">
        <v>239.22155212248293</v>
      </c>
      <c r="D9" s="31">
        <v>235.59545028659227</v>
      </c>
      <c r="E9" s="31">
        <v>231.9693484507017</v>
      </c>
      <c r="F9" s="31">
        <v>228.343246614811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44557000000</v>
      </c>
      <c r="C5" s="18">
        <v>42879000000</v>
      </c>
      <c r="D5" s="18">
        <v>42857000000</v>
      </c>
      <c r="E5" s="18">
        <v>44915000000</v>
      </c>
      <c r="F5" s="6" t="s">
        <v>91</v>
      </c>
    </row>
    <row r="6" spans="1:6" x14ac:dyDescent="0.25">
      <c r="A6" t="s">
        <v>51</v>
      </c>
      <c r="B6" s="18">
        <v>8110000000</v>
      </c>
      <c r="C6" s="18">
        <v>7717000000</v>
      </c>
      <c r="D6" s="18">
        <v>7318000000</v>
      </c>
      <c r="E6" s="18">
        <v>8507000000</v>
      </c>
      <c r="F6" s="6" t="s">
        <v>92</v>
      </c>
    </row>
    <row r="7" spans="1:6" x14ac:dyDescent="0.25">
      <c r="A7" t="s">
        <v>93</v>
      </c>
      <c r="B7" s="18">
        <v>2780000000</v>
      </c>
      <c r="C7" s="18">
        <v>3108000000</v>
      </c>
      <c r="D7" s="18">
        <v>3406000000</v>
      </c>
      <c r="E7" s="18">
        <v>3381000000</v>
      </c>
      <c r="F7" s="6" t="s">
        <v>94</v>
      </c>
    </row>
    <row r="8" spans="1:6" x14ac:dyDescent="0.25">
      <c r="A8" t="s">
        <v>95</v>
      </c>
      <c r="B8" s="18">
        <v>1525000000</v>
      </c>
      <c r="C8" s="18">
        <v>1400000000</v>
      </c>
      <c r="D8" s="18">
        <v>1479000000</v>
      </c>
      <c r="E8" s="18">
        <v>2243000000</v>
      </c>
      <c r="F8" s="6" t="s">
        <v>96</v>
      </c>
    </row>
    <row r="9" spans="1:6" x14ac:dyDescent="0.25">
      <c r="A9" t="s">
        <v>97</v>
      </c>
      <c r="B9" s="18">
        <v>1766000000</v>
      </c>
      <c r="C9" s="18">
        <v>334000000</v>
      </c>
      <c r="D9" s="18">
        <v>495000000</v>
      </c>
      <c r="E9" s="18">
        <v>1008000000</v>
      </c>
      <c r="F9" s="6" t="s">
        <v>98</v>
      </c>
    </row>
    <row r="10" spans="1:6" x14ac:dyDescent="0.25">
      <c r="A10" t="s">
        <v>99</v>
      </c>
      <c r="B10" s="18">
        <v>39385000000</v>
      </c>
      <c r="C10" s="18">
        <v>31275000000</v>
      </c>
      <c r="D10" s="18">
        <v>34917000000</v>
      </c>
      <c r="E10" s="18">
        <v>34488000000</v>
      </c>
      <c r="F10" s="6" t="s">
        <v>100</v>
      </c>
    </row>
    <row r="11" spans="1:6" x14ac:dyDescent="0.25">
      <c r="A11" t="s">
        <v>101</v>
      </c>
      <c r="B11" s="18">
        <v>10105000000</v>
      </c>
      <c r="C11" s="18">
        <v>5570000000</v>
      </c>
      <c r="D11" s="18">
        <v>8080000000</v>
      </c>
      <c r="E11" s="18">
        <v>8524000000</v>
      </c>
      <c r="F11" s="6" t="s">
        <v>102</v>
      </c>
    </row>
    <row r="12" spans="1:6" x14ac:dyDescent="0.25">
      <c r="A12" t="s">
        <v>34</v>
      </c>
      <c r="B12" s="34">
        <v>378000000</v>
      </c>
      <c r="C12" s="34">
        <v>383000000</v>
      </c>
      <c r="D12" s="34">
        <v>388000000</v>
      </c>
      <c r="E12" s="34">
        <v>394000000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