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<sst xmlns="http://schemas.openxmlformats.org/spreadsheetml/2006/main" count="112" uniqueCount="100">
  <si>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Thermo Fisher Scientific Inc. (TMO)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</si>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</sst>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-0.0026639607700198464</v>
      </c>
    </row>
    <row r="7" spans="1:2" x14ac:dyDescent="0.25">
      <c r="A7" t="s">
        <v>5</v>
      </c>
      <c r="B7" s="6">
        <v>0.18053542598505135</v>
      </c>
    </row>
    <row r="8" spans="1:2" x14ac:dyDescent="0.25">
      <c r="A8" t="s">
        <v>6</v>
      </c>
      <c r="B8" s="6">
        <v>0.082287535160915</v>
      </c>
    </row>
    <row r="9" spans="1:2" x14ac:dyDescent="0.25">
      <c r="A9" t="s">
        <v>7</v>
      </c>
      <c r="B9" s="6">
        <v>0.07240603615129768</v>
      </c>
    </row>
    <row r="10" spans="1:2" x14ac:dyDescent="0.25">
      <c r="A10" t="s">
        <v>8</v>
      </c>
      <c r="B10" s="6">
        <v>0.03783118163349579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0.09204875745019554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0.90218</v>
      </c>
      <c r="C19" s="8" t="s">
        <v>19</v>
      </c>
    </row>
    <row r="20" spans="1:2" x14ac:dyDescent="0.25">
      <c r="A20" t="s">
        <v>20</v>
      </c>
      <c r="B20" s="10">
        <f>B17+B19*B18</f>
        <v>0.0995999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240871882752</v>
      </c>
    </row>
    <row r="23" spans="1:2" x14ac:dyDescent="0.25">
      <c r="A23" t="s">
        <v>24</v>
      </c>
      <c r="B23" s="11">
        <v>39385000000</v>
      </c>
    </row>
    <row r="24" spans="1:2" x14ac:dyDescent="0.25">
      <c r="A24" t="s">
        <v>25</v>
      </c>
      <c r="B24" s="10">
        <f>B22/(B22+B23)</f>
        <v>0.8594682149702925</v>
      </c>
    </row>
    <row r="25" spans="1:2" x14ac:dyDescent="0.25">
      <c r="A25" t="s">
        <v>26</v>
      </c>
      <c r="B25" s="10">
        <f>1-B24</f>
        <v>0.14053178502970753</v>
      </c>
    </row>
    <row r="26" spans="1:2" x14ac:dyDescent="0.25">
      <c r="A26" t="s">
        <v>27</v>
      </c>
      <c r="B26" s="12">
        <f>B24*B20+B25*B21*(1-B8)</f>
        <v>0.09204875745019554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44557000000</v>
      </c>
      <c r="C29" s="8" t="s">
        <v>30</v>
      </c>
    </row>
    <row r="30" spans="1:2" x14ac:dyDescent="0.25">
      <c r="A30" t="s">
        <v>31</v>
      </c>
      <c r="B30" s="11">
        <v>29280000000</v>
      </c>
    </row>
    <row r="31" spans="1:2" x14ac:dyDescent="0.25">
      <c r="A31" t="s">
        <v>32</v>
      </c>
      <c r="B31" s="13">
        <v>378000000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-0.0026639607700198464</v>
      </c>
      <c r="C5" s="10">
        <f>Assumptions!B6</f>
        <v>-0.0026639607700198464</v>
      </c>
      <c r="D5" s="10">
        <f>Assumptions!B6</f>
        <v>-0.0026639607700198464</v>
      </c>
      <c r="E5" s="10">
        <f>Assumptions!B6</f>
        <v>-0.0026639607700198464</v>
      </c>
      <c r="F5" s="10">
        <f>Assumptions!B6</f>
        <v>-0.0026639607700198464</v>
      </c>
    </row>
    <row r="6" spans="1:6" x14ac:dyDescent="0.25">
      <c r="A6" t="s">
        <v>43</v>
      </c>
      <c r="B6" s="18">
        <f>Assumptions!B29*(1+B5)</f>
        <v>44438301899.97022</v>
      </c>
      <c r="C6" s="18">
        <f>B6*(1+C5)</f>
        <v>44319920007.0224</v>
      </c>
      <c r="D6" s="18">
        <f>C6*(1+D5)</f>
        <v>44201853478.793274</v>
      </c>
      <c r="E6" s="18">
        <f>D6*(1+E5)</f>
        <v>44084101475.163605</v>
      </c>
      <c r="F6" s="18">
        <f>E6*(1+F5)</f>
        <v>43966663158.2522</v>
      </c>
    </row>
    <row r="7" spans="1:6" x14ac:dyDescent="0.25">
      <c r="A7" t="s">
        <v>5</v>
      </c>
      <c r="B7" s="10">
        <f>Assumptions!B7</f>
        <v>0.18053542598505135</v>
      </c>
      <c r="C7" s="10">
        <f>Assumptions!B7</f>
        <v>0.18053542598505135</v>
      </c>
      <c r="D7" s="10">
        <f>Assumptions!B7</f>
        <v>0.18053542598505135</v>
      </c>
      <c r="E7" s="10">
        <f>Assumptions!B7</f>
        <v>0.18053542598505135</v>
      </c>
      <c r="F7" s="10">
        <f>Assumptions!B7</f>
        <v>0.18053542598505135</v>
      </c>
    </row>
    <row r="8" spans="1:6" x14ac:dyDescent="0.25">
      <c r="A8" t="s">
        <v>44</v>
      </c>
      <c r="B8" s="18">
        <f>B6*B7</f>
        <v>8022687763.56344</v>
      </c>
      <c r="C8" s="18">
        <f>C6*C7</f>
        <v>8001315638.091188</v>
      </c>
      <c r="D8" s="18">
        <f>D6*D7</f>
        <v>7980000447.122767</v>
      </c>
      <c r="E8" s="18">
        <f>E6*E7</f>
        <v>7958742038.986892</v>
      </c>
      <c r="F8" s="18">
        <f>F6*F7</f>
        <v>7937540262.416324</v>
      </c>
    </row>
    <row r="9" spans="1:6" x14ac:dyDescent="0.25">
      <c r="A9" t="s">
        <v>45</v>
      </c>
      <c r="B9" s="18">
        <f>B8*(1-Assumptions!B8)</f>
        <v>7362520562.134171</v>
      </c>
      <c r="C9" s="18">
        <f>C8*(1-Assumptions!B8)</f>
        <v>7342907096.188181</v>
      </c>
      <c r="D9" s="18">
        <f>D8*(1-Assumptions!B8)</f>
        <v>7323345879.746035</v>
      </c>
      <c r="E9" s="18">
        <f>E8*(1-Assumptions!B8)</f>
        <v>7303836773.6171055</v>
      </c>
      <c r="F9" s="18">
        <f>F8*(1-Assumptions!B8)</f>
        <v>7284379638.981562</v>
      </c>
    </row>
    <row r="10" spans="1:6" x14ac:dyDescent="0.25">
      <c r="A10" t="s">
        <v>46</v>
      </c>
      <c r="B10" s="18">
        <f>B6*Assumptions!B9</f>
        <v>3217601293.8715243</v>
      </c>
      <c r="C10" s="18">
        <f>C6*Assumptions!B9</f>
        <v>3209029730.251085</v>
      </c>
      <c r="D10" s="18">
        <f>D6*Assumptions!B9</f>
        <v>3200481000.939869</v>
      </c>
      <c r="E10" s="18">
        <f>E6*Assumptions!B9</f>
        <v>3191955045.108171</v>
      </c>
      <c r="F10" s="18">
        <f>F6*Assumptions!B9</f>
        <v>3183451802.0883365</v>
      </c>
    </row>
    <row r="11" spans="1:6" x14ac:dyDescent="0.25">
      <c r="A11" t="s">
        <v>47</v>
      </c>
      <c r="B11" s="18">
        <f>-B6*Assumptions!B10</f>
        <v>-1681153470.6618946</v>
      </c>
      <c r="C11" s="18">
        <f>-C6*Assumptions!B10</f>
        <v>-1676674943.7676685</v>
      </c>
      <c r="D11" s="18">
        <f>-D6*Assumptions!B10</f>
        <v>-1672208347.493396</v>
      </c>
      <c r="E11" s="18">
        <f>-E6*Assumptions!B10</f>
        <v>-1667753650.056374</v>
      </c>
      <c r="F11" s="18">
        <f>-F6*Assumptions!B10</f>
        <v>-1663310819.7585664</v>
      </c>
    </row>
    <row r="12" spans="1:6" x14ac:dyDescent="0.25">
      <c r="A12" t="s">
        <v>48</v>
      </c>
      <c r="B12" s="18">
        <f>-(B6-Assumptions!B29)*Assumptions!B11</f>
        <v>118698100.02977753</v>
      </c>
      <c r="C12" s="18">
        <f>-(C6-B6)*Assumptions!B11</f>
        <v>118381892.94782257</v>
      </c>
      <c r="D12" s="18">
        <f>-(D6-C6)*Assumptions!B11</f>
        <v>118066528.22912598</v>
      </c>
      <c r="E12" s="18">
        <f>-(E6-D6)*Assumptions!B11</f>
        <v>117752003.62966919</v>
      </c>
      <c r="F12" s="18">
        <f>-(F6-E6)*Assumptions!B11</f>
        <v>117438316.91140747</v>
      </c>
    </row>
    <row r="13" spans="1:6" x14ac:dyDescent="0.25">
      <c r="A13" s="19" t="s">
        <v>49</v>
      </c>
      <c r="B13" s="20">
        <f>B9+B10+B11+B12</f>
        <v>9017666485.373579</v>
      </c>
      <c r="C13" s="20">
        <f>C9+C10+C11+C12</f>
        <v>8993643775.619421</v>
      </c>
      <c r="D13" s="20">
        <f>D9+D10+D11+D12</f>
        <v>8969685061.421633</v>
      </c>
      <c r="E13" s="20">
        <f>E9+E10+E11+E12</f>
        <v>8945790172.298573</v>
      </c>
      <c r="F13" s="20">
        <f>F9+F10+F11+F12</f>
        <v>8921958938.22274</v>
      </c>
    </row>
    <row r="14" spans="1:6" x14ac:dyDescent="0.25">
      <c r="A14" t="s">
        <v>50</v>
      </c>
      <c r="B14" s="21">
        <f>1/(1+Assumptions!$B$26)^(1-0.5*Assumptions!$B$32)</f>
        <v>0.9569273899264391</v>
      </c>
      <c r="C14" s="21">
        <f>1/(1+Assumptions!$B$26)^(2-0.5*Assumptions!$B$32)</f>
        <v>0.8762680085463868</v>
      </c>
      <c r="D14" s="21">
        <f>1/(1+Assumptions!$B$26)^(3-0.5*Assumptions!$B$32)</f>
        <v>0.8024074040360331</v>
      </c>
      <c r="E14" s="21">
        <f>1/(1+Assumptions!$B$26)^(4-0.5*Assumptions!$B$32)</f>
        <v>0.7347725076942162</v>
      </c>
      <c r="F14" s="21">
        <f>1/(1+Assumptions!$B$26)^(5-0.5*Assumptions!$B$32)</f>
        <v>0.6728385547636379</v>
      </c>
    </row>
    <row r="15" spans="1:6" x14ac:dyDescent="0.25">
      <c r="A15" s="19" t="s">
        <v>51</v>
      </c>
      <c r="B15" s="20">
        <f>B13*B14</f>
        <v>8629252053.075665</v>
      </c>
      <c r="C15" s="20">
        <f>C13*C14</f>
        <v>7880842320.837637</v>
      </c>
      <c r="D15" s="20">
        <f>D13*D14</f>
        <v>7197341705.156118</v>
      </c>
      <c r="E15" s="20">
        <f>E13*E14</f>
        <v>6573120678.206097</v>
      </c>
      <c r="F15" s="20">
        <f>F13*F14</f>
        <v>6003037957.654309</v>
      </c>
    </row>
    <row r="17" spans="1:2" x14ac:dyDescent="0.25">
      <c r="A17" s="22" t="s">
        <v>52</v>
      </c>
      <c r="B17" s="23">
        <f>SUM(B15:F15)</f>
        <v>36283594714.929825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8921958938.22274</v>
      </c>
    </row>
    <row r="5" spans="1:2" x14ac:dyDescent="0.25">
      <c r="A5" t="s">
        <v>56</v>
      </c>
      <c r="B5" s="18">
        <f>IF(Assumptions!$B$33=0,B4,B4-Forecast!F11-Forecast!F10-Forecast!F12)</f>
        <v>9223405422.196722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0.27159519251008524</v>
      </c>
    </row>
    <row r="7" spans="1:2" x14ac:dyDescent="0.25">
      <c r="A7" t="s">
        <v>58</v>
      </c>
      <c r="B7" s="18">
        <f>-MAX(Forecast!F9,0)*B6</f>
        <v>-2505032571.2400827</v>
      </c>
    </row>
    <row r="8" spans="1:2" x14ac:dyDescent="0.25">
      <c r="A8" t="s">
        <v>59</v>
      </c>
      <c r="B8" s="18">
        <f>IF(OR(Assumptions!$B$33=0,Assumptions!B12&lt;=0),B5,MAX(B5+B7,0))</f>
        <v>6718372850.956639</v>
      </c>
    </row>
    <row r="9" spans="1:2" x14ac:dyDescent="0.25">
      <c r="A9" t="s">
        <v>60</v>
      </c>
      <c r="B9" s="18">
        <f>B8*(1+Assumptions!B12)/(Assumptions!B26-Assumptions!B12)</f>
        <v>102706335420.84338</v>
      </c>
    </row>
    <row r="10" spans="1:2" x14ac:dyDescent="0.25">
      <c r="A10" t="s">
        <v>61</v>
      </c>
      <c r="B10" s="18">
        <f>B9/(1+Assumptions!B26)^(5-0.5*Assumptions!B32)</f>
        <v>69104782289.62968</v>
      </c>
    </row>
    <row r="11" spans="1:2" x14ac:dyDescent="0.25">
      <c r="A11" t="s">
        <v>62</v>
      </c>
      <c r="B11" s="18">
        <f>Forecast!B17+B10</f>
        <v>105388377004.55951</v>
      </c>
    </row>
    <row r="12" spans="1:2" x14ac:dyDescent="0.25">
      <c r="A12" t="s">
        <v>63</v>
      </c>
      <c r="B12" s="18">
        <f>-Assumptions!B30</f>
        <v>-29280000000</v>
      </c>
    </row>
    <row r="13" spans="1:2" x14ac:dyDescent="0.25">
      <c r="A13" t="s">
        <v>64</v>
      </c>
      <c r="B13" s="18">
        <f>B11+B12</f>
        <v>76108377004.55951</v>
      </c>
    </row>
    <row r="14" spans="1:2" x14ac:dyDescent="0.25">
      <c r="A14" s="19" t="s">
        <v>65</v>
      </c>
      <c r="B14" s="24">
        <f>B13/Assumptions!B31</f>
        <v>201.3449127104749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11120992064.50466</v>
      </c>
    </row>
    <row r="18" spans="1:2" x14ac:dyDescent="0.25">
      <c r="A18" t="s">
        <v>60</v>
      </c>
      <c r="B18" s="18">
        <f>B17*Assumptions!B13</f>
        <v>222419841290.0932</v>
      </c>
    </row>
    <row r="19" spans="1:2" x14ac:dyDescent="0.25">
      <c r="A19" t="s">
        <v>61</v>
      </c>
      <c r="B19" s="18">
        <f>B18/(1+Assumptions!B26)^(5-0.5*Assumptions!B32)</f>
        <v>149652644564.384</v>
      </c>
    </row>
    <row r="20" spans="1:2" x14ac:dyDescent="0.25">
      <c r="A20" t="s">
        <v>62</v>
      </c>
      <c r="B20" s="18">
        <f>Forecast!B17+B19</f>
        <v>185936239279.31384</v>
      </c>
    </row>
    <row r="21" spans="1:2" x14ac:dyDescent="0.25">
      <c r="A21" t="s">
        <v>63</v>
      </c>
      <c r="B21" s="18">
        <f>-Assumptions!B30</f>
        <v>-29280000000</v>
      </c>
    </row>
    <row r="22" spans="1:2" x14ac:dyDescent="0.25">
      <c r="A22" t="s">
        <v>64</v>
      </c>
      <c r="B22" s="18">
        <f>B20+B21</f>
        <v>156656239279.31384</v>
      </c>
    </row>
    <row r="23" spans="1:2" x14ac:dyDescent="0.25">
      <c r="A23" s="19" t="s">
        <v>65</v>
      </c>
      <c r="B23" s="25">
        <f>B22/Assumptions!B31</f>
        <v>414.4344954479202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651.45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201.3449127104749</v>
      </c>
    </row>
    <row r="29" spans="1:2" x14ac:dyDescent="0.25">
      <c r="A29" s="19" t="s">
        <v>73</v>
      </c>
      <c r="B29" s="12">
        <f>B28/B26-1</f>
        <v>-0.690928063994973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0.072049</v>
      </c>
      <c r="B5" s="31">
        <v>284.1261393450052</v>
      </c>
      <c r="C5" s="31">
        <v>290.0570685163364</v>
      </c>
      <c r="D5" s="31">
        <v>297.0252969535592</v>
      </c>
      <c r="E5" s="31">
        <v>305.4008569758336</v>
      </c>
      <c r="F5" s="31">
        <v>315.7535338344696</v>
      </c>
    </row>
    <row r="6" spans="1:6" x14ac:dyDescent="0.25">
      <c r="A6" s="30">
        <v>0.082049</v>
      </c>
      <c r="B6" s="31">
        <v>233.88576546325515</v>
      </c>
      <c r="C6" s="31">
        <v>235.64470016458873</v>
      </c>
      <c r="D6" s="31">
        <v>237.53534327119857</v>
      </c>
      <c r="E6" s="31">
        <v>239.5956518250865</v>
      </c>
      <c r="F6" s="31">
        <v>241.87971797930908</v>
      </c>
    </row>
    <row r="7" spans="1:6" x14ac:dyDescent="0.25">
      <c r="A7" s="30">
        <v>0.092049</v>
      </c>
      <c r="B7" s="31">
        <v>199.5606259450912</v>
      </c>
      <c r="C7" s="31">
        <v>200.45241238372608</v>
      </c>
      <c r="D7" s="32">
        <v>201.34419882236097</v>
      </c>
      <c r="E7" s="31">
        <v>202.23598526099576</v>
      </c>
      <c r="F7" s="31">
        <v>203.12777169963064</v>
      </c>
    </row>
    <row r="8" spans="1:6" x14ac:dyDescent="0.25">
      <c r="A8" s="30">
        <v>0.102049</v>
      </c>
      <c r="B8" s="31">
        <v>173.25797102038226</v>
      </c>
      <c r="C8" s="31">
        <v>174.03004102164766</v>
      </c>
      <c r="D8" s="31">
        <v>174.80211102291298</v>
      </c>
      <c r="E8" s="31">
        <v>175.5741810241784</v>
      </c>
      <c r="F8" s="31">
        <v>176.3462510254437</v>
      </c>
    </row>
    <row r="9" spans="1:6" x14ac:dyDescent="0.25">
      <c r="A9" s="30">
        <v>0.112049</v>
      </c>
      <c r="B9" s="31">
        <v>151.65821118921085</v>
      </c>
      <c r="C9" s="31">
        <v>152.33336676836907</v>
      </c>
      <c r="D9" s="31">
        <v>153.0085223475273</v>
      </c>
      <c r="E9" s="31">
        <v>153.68367792668556</v>
      </c>
      <c r="F9" s="31">
        <v>154.3588335058438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44557000000</v>
      </c>
      <c r="C5" s="18">
        <v>42879000000</v>
      </c>
      <c r="D5" s="18">
        <v>42857000000</v>
      </c>
      <c r="E5" s="18">
        <v>44915000000</v>
      </c>
      <c r="F5" s="8" t="s">
        <v>84</v>
      </c>
    </row>
    <row r="6" spans="1:6" x14ac:dyDescent="0.25">
      <c r="A6" t="s">
        <v>44</v>
      </c>
      <c r="B6" s="18">
        <v>8110000000</v>
      </c>
      <c r="C6" s="18">
        <v>7717000000</v>
      </c>
      <c r="D6" s="18">
        <v>7318000000</v>
      </c>
      <c r="E6" s="18">
        <v>8507000000</v>
      </c>
      <c r="F6" s="8" t="s">
        <v>85</v>
      </c>
    </row>
    <row r="7" spans="1:6" x14ac:dyDescent="0.25">
      <c r="A7" t="s">
        <v>86</v>
      </c>
      <c r="B7" s="18">
        <v>2780000000</v>
      </c>
      <c r="C7" s="18">
        <v>3108000000</v>
      </c>
      <c r="D7" s="18">
        <v>3406000000</v>
      </c>
      <c r="E7" s="18">
        <v>3381000000</v>
      </c>
      <c r="F7" s="8" t="s">
        <v>87</v>
      </c>
    </row>
    <row r="8" spans="1:6" x14ac:dyDescent="0.25">
      <c r="A8" t="s">
        <v>88</v>
      </c>
      <c r="B8" s="18">
        <v>1525000000</v>
      </c>
      <c r="C8" s="18">
        <v>1400000000</v>
      </c>
      <c r="D8" s="18">
        <v>1479000000</v>
      </c>
      <c r="E8" s="18">
        <v>2243000000</v>
      </c>
      <c r="F8" s="8" t="s">
        <v>89</v>
      </c>
    </row>
    <row r="9" spans="1:6" x14ac:dyDescent="0.25">
      <c r="A9" t="s">
        <v>90</v>
      </c>
      <c r="B9" s="18">
        <v>1766000000</v>
      </c>
      <c r="C9" s="18">
        <v>334000000</v>
      </c>
      <c r="D9" s="18">
        <v>495000000</v>
      </c>
      <c r="E9" s="18">
        <v>1008000000</v>
      </c>
      <c r="F9" s="8" t="s">
        <v>91</v>
      </c>
    </row>
    <row r="10" spans="1:6" x14ac:dyDescent="0.25">
      <c r="A10" t="s">
        <v>92</v>
      </c>
      <c r="B10" s="18">
        <v>39385000000</v>
      </c>
      <c r="C10" s="18">
        <v>31275000000</v>
      </c>
      <c r="D10" s="18">
        <v>34917000000</v>
      </c>
      <c r="E10" s="18">
        <v>34488000000</v>
      </c>
      <c r="F10" s="8" t="s">
        <v>93</v>
      </c>
    </row>
    <row r="11" spans="1:6" x14ac:dyDescent="0.25">
      <c r="A11" t="s">
        <v>94</v>
      </c>
      <c r="B11" s="18">
        <v>10105000000</v>
      </c>
      <c r="C11" s="18">
        <v>5570000000</v>
      </c>
      <c r="D11" s="18">
        <v>8080000000</v>
      </c>
      <c r="E11" s="18">
        <v>8524000000</v>
      </c>
      <c r="F11" s="8" t="s">
        <v>95</v>
      </c>
    </row>
    <row r="12" spans="1:6" x14ac:dyDescent="0.25">
      <c r="A12" t="s">
        <v>32</v>
      </c>
      <c r="B12" s="34">
        <v>378000000</v>
      </c>
      <c r="C12" s="34">
        <v>383000000</v>
      </c>
      <c r="D12" s="34">
        <v>388000000</v>
      </c>
      <c r="E12" s="34">
        <v>394000000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