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<sst xmlns="http://schemas.openxmlformats.org/spreadsheetml/2006/main" count="115" uniqueCount="103">
  <si>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Tata Motors Passenger Vehicles Limited (TMPV.NS)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</si>
  <si>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</si>
  <si>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</si>
  <si>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</si>
  <si>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</si>
  <si>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</si>
  <si>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</si>
  <si>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</si>
  <si>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</si>
  <si>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</si>
  <si>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</si>
  <si>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</si>
  <si>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</si>
  <si>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</si>
  <si>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</si>
  <si>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</si>
  <si>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</si>
  <si>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</si>
  <si>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</si>
  <si>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</si>
  <si>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</si>
  <si>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</si>
  <si>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</si>
  <si>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</si>
  <si>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</si>
  <si>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</si>
  <si>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</si>
  <si>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</si>
  <si>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</si>
  <si>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</si>
  <si>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</si>
  <si>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</si>
  <si>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</si>
  <si>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</si>
  <si>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</si>
  <si>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</si>
  <si>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</si>
  <si>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</si>
  <si>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</si>
  <si>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</si>
  <si>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</si>
  <si>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</si>
  <si>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</si>
  <si>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</si>
  <si>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</si>
  <si>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</si>
  <si>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</si>
  <si>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</si>
  <si>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</si>
  <si>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</si>
  <si>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</si>
  <si>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</si>
  <si>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</si>
  <si>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</si>
  <si>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</si>
  <si>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</si>
  <si>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</si>
  <si>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</si>
  <si>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</si>
  <si>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</si>
  <si>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</si>
  <si>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</si>
  <si>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</si>
  <si>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</si>
  <si>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</si>
  <si>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</si>
  <si>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</si>
  <si>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</si>
  <si>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</si>
  <si>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</si>
  <si>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</si>
  <si>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</si>
  <si>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</si>
  <si>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</si>
  <si>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</si>
  <si>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</si>
  <si>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</si>
  <si>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</si>
  <si>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</si>
  <si>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</si>
  <si>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</si>
  <si>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</si>
  <si>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</si>
  <si>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</si>
  <si>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</si>
  <si>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</si>
  <si>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</si>
  <si>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</si>
  <si>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</si>
  <si>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</si>
  <si>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</si>
  <si>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</si>
  <si>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</si>
  <si>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</si>
  <si>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</si>
  <si>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</si>
  <si>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</si>
  <si>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</si>
  <si>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</si>
  <si>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8.5% of revenue against depreciation of 6.5%.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</si>
  <si>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</si>
  <si>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No usable EV/EBITDA (EBITDA is not positive), so the exit multiple falls back to 8x.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</si>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</sst>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-0.009313945411774216</v>
      </c>
    </row>
    <row r="7" spans="1:2" x14ac:dyDescent="0.25">
      <c r="A7" t="s">
        <v>5</v>
      </c>
      <c r="B7" s="6">
        <v>-0.022161967193361755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0.06511911324205898</v>
      </c>
    </row>
    <row r="10" spans="1:2" x14ac:dyDescent="0.25">
      <c r="A10" t="s">
        <v>8</v>
      </c>
      <c r="B10" s="6">
        <v>0.08477885475854918</v>
      </c>
    </row>
    <row r="11" spans="1:2" x14ac:dyDescent="0.25">
      <c r="A11" t="s">
        <v>9</v>
      </c>
      <c r="B11" s="6">
        <v>-0.08292070143328857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0.10020570131654688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0.85126</v>
      </c>
      <c r="C19" s="8" t="s">
        <v>19</v>
      </c>
    </row>
    <row r="20" spans="1:2" x14ac:dyDescent="0.25">
      <c r="A20" t="s">
        <v>20</v>
      </c>
      <c r="B20" s="10">
        <f>B17+B19*B18</f>
        <v>0.13610080000000002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1118862442496</v>
      </c>
    </row>
    <row r="23" spans="1:2" x14ac:dyDescent="0.25">
      <c r="A23" t="s">
        <v>24</v>
      </c>
      <c r="B23" s="11">
        <v>813950000000</v>
      </c>
    </row>
    <row r="24" spans="1:2" x14ac:dyDescent="0.25">
      <c r="A24" t="s">
        <v>25</v>
      </c>
      <c r="B24" s="10">
        <f>B22/(B22+B23)</f>
        <v>0.5788779179479623</v>
      </c>
    </row>
    <row r="25" spans="1:2" x14ac:dyDescent="0.25">
      <c r="A25" t="s">
        <v>26</v>
      </c>
      <c r="B25" s="10">
        <f>1-B24</f>
        <v>0.4211220820520377</v>
      </c>
    </row>
    <row r="26" spans="1:2" x14ac:dyDescent="0.25">
      <c r="A26" t="s">
        <v>27</v>
      </c>
      <c r="B26" s="12">
        <f>B24*B20+B25*B21*(1-B8)</f>
        <v>0.10020570131654688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3333830000000</v>
      </c>
      <c r="C29" s="8" t="s">
        <v>30</v>
      </c>
    </row>
    <row r="30" spans="1:2" x14ac:dyDescent="0.25">
      <c r="A30" t="s">
        <v>31</v>
      </c>
      <c r="B30" s="11">
        <v>335670000000</v>
      </c>
    </row>
    <row r="31" spans="1:2" x14ac:dyDescent="0.25">
      <c r="A31" t="s">
        <v>32</v>
      </c>
      <c r="B31" s="13">
        <v>3684022286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-0.009313945411774216</v>
      </c>
      <c r="C5" s="10">
        <f>Assumptions!B6</f>
        <v>-0.009313945411774216</v>
      </c>
      <c r="D5" s="10">
        <f>Assumptions!B6</f>
        <v>-0.009313945411774216</v>
      </c>
      <c r="E5" s="10">
        <f>Assumptions!B6</f>
        <v>-0.009313945411774216</v>
      </c>
      <c r="F5" s="10">
        <f>Assumptions!B6</f>
        <v>-0.009313945411774216</v>
      </c>
    </row>
    <row r="6" spans="1:6" x14ac:dyDescent="0.25">
      <c r="A6" t="s">
        <v>43</v>
      </c>
      <c r="B6" s="18">
        <f>Assumptions!B29*(1+B5)</f>
        <v>3302778889367.8647</v>
      </c>
      <c r="C6" s="18">
        <f>B6*(1+C5)</f>
        <v>3272016987085.1323</v>
      </c>
      <c r="D6" s="18">
        <f>C6*(1+D5)</f>
        <v>3241541599481.0234</v>
      </c>
      <c r="E6" s="18">
        <f>D6*(1+E5)</f>
        <v>3211350057973.462</v>
      </c>
      <c r="F6" s="18">
        <f>E6*(1+F5)</f>
        <v>3181439718835.399</v>
      </c>
    </row>
    <row r="7" spans="1:6" x14ac:dyDescent="0.25">
      <c r="A7" t="s">
        <v>5</v>
      </c>
      <c r="B7" s="10">
        <f>Assumptions!B7</f>
        <v>-0.022161967193361755</v>
      </c>
      <c r="C7" s="10">
        <f>Assumptions!B7</f>
        <v>-0.022161967193361755</v>
      </c>
      <c r="D7" s="10">
        <f>Assumptions!B7</f>
        <v>-0.022161967193361755</v>
      </c>
      <c r="E7" s="10">
        <f>Assumptions!B7</f>
        <v>-0.022161967193361755</v>
      </c>
      <c r="F7" s="10">
        <f>Assumptions!B7</f>
        <v>-0.022161967193361755</v>
      </c>
    </row>
    <row r="8" spans="1:6" x14ac:dyDescent="0.25">
      <c r="A8" t="s">
        <v>44</v>
      </c>
      <c r="B8" s="18">
        <f>B6*B7</f>
        <v>-73196077393.09839</v>
      </c>
      <c r="C8" s="18">
        <f>C6*C7</f>
        <v>-72514333123.90308</v>
      </c>
      <c r="D8" s="18">
        <f>D6*D7</f>
        <v>-71838938583.61583</v>
      </c>
      <c r="E8" s="18">
        <f>E6*E7</f>
        <v>-71169834631.20824</v>
      </c>
      <c r="F8" s="18">
        <f>F6*F7</f>
        <v>-70506962676.48816</v>
      </c>
    </row>
    <row r="9" spans="1:6" x14ac:dyDescent="0.25">
      <c r="A9" t="s">
        <v>45</v>
      </c>
      <c r="B9" s="18">
        <f>B8*(1-Assumptions!B8)</f>
        <v>-54750665890.0376</v>
      </c>
      <c r="C9" s="18">
        <f>C8*(1-Assumptions!B8)</f>
        <v>-54240721176.679504</v>
      </c>
      <c r="D9" s="18">
        <f>D8*(1-Assumptions!B8)</f>
        <v>-53735526060.54464</v>
      </c>
      <c r="E9" s="18">
        <f>E8*(1-Assumptions!B8)</f>
        <v>-53235036304.14376</v>
      </c>
      <c r="F9" s="18">
        <f>F8*(1-Assumptions!B8)</f>
        <v>-52739208082.013145</v>
      </c>
    </row>
    <row r="10" spans="1:6" x14ac:dyDescent="0.25">
      <c r="A10" t="s">
        <v>46</v>
      </c>
      <c r="B10" s="18">
        <f>B6*Assumptions!B9</f>
        <v>215074032510.22775</v>
      </c>
      <c r="C10" s="18">
        <f>C6*Assumptions!B9</f>
        <v>213070844711.93735</v>
      </c>
      <c r="D10" s="18">
        <f>D6*Assumptions!B9</f>
        <v>211086314495.44974</v>
      </c>
      <c r="E10" s="18">
        <f>E6*Assumptions!B9</f>
        <v>209120268085.06653</v>
      </c>
      <c r="F10" s="18">
        <f>F6*Assumptions!B9</f>
        <v>207172533323.62662</v>
      </c>
    </row>
    <row r="11" spans="1:6" x14ac:dyDescent="0.25">
      <c r="A11" t="s">
        <v>47</v>
      </c>
      <c r="B11" s="18">
        <f>-B6*Assumptions!B10</f>
        <v>-280005811761.32056</v>
      </c>
      <c r="C11" s="18">
        <f>-C6*Assumptions!B10</f>
        <v>-277397852915.5961</v>
      </c>
      <c r="D11" s="18">
        <f>-D6*Assumptions!B10</f>
        <v>-274814184456.1969</v>
      </c>
      <c r="E11" s="18">
        <f>-E6*Assumptions!B10</f>
        <v>-272254580143.79062</v>
      </c>
      <c r="F11" s="18">
        <f>-F6*Assumptions!B10</f>
        <v>-269718815846.22583</v>
      </c>
    </row>
    <row r="12" spans="1:6" x14ac:dyDescent="0.25">
      <c r="A12" t="s">
        <v>48</v>
      </c>
      <c r="B12" s="18">
        <f>-(B6-Assumptions!B29)*Assumptions!B11</f>
        <v>-2574779873.8992996</v>
      </c>
      <c r="C12" s="18">
        <f>-(C6-B6)*Assumptions!B11</f>
        <v>-2550798514.7064533</v>
      </c>
      <c r="D12" s="18">
        <f>-(D6-C6)*Assumptions!B11</f>
        <v>-2527040516.5840564</v>
      </c>
      <c r="E12" s="18">
        <f>-(E6-D6)*Assumptions!B11</f>
        <v>-2503503799.1592484</v>
      </c>
      <c r="F12" s="18">
        <f>-(F6-E6)*Assumptions!B11</f>
        <v>-2480186301.4357266</v>
      </c>
    </row>
    <row r="13" spans="1:6" x14ac:dyDescent="0.25">
      <c r="A13" s="19" t="s">
        <v>49</v>
      </c>
      <c r="B13" s="20">
        <f>B9+B10+B11+B12</f>
        <v>-122257225015.0297</v>
      </c>
      <c r="C13" s="20">
        <f>C9+C10+C11+C12</f>
        <v>-121118527895.04474</v>
      </c>
      <c r="D13" s="20">
        <f>D9+D10+D11+D12</f>
        <v>-119990436537.87587</v>
      </c>
      <c r="E13" s="20">
        <f>E9+E10+E11+E12</f>
        <v>-118872852162.0271</v>
      </c>
      <c r="F13" s="20">
        <f>F9+F10+F11+F12</f>
        <v>-117765676906.0481</v>
      </c>
    </row>
    <row r="14" spans="1:6" x14ac:dyDescent="0.25">
      <c r="A14" t="s">
        <v>50</v>
      </c>
      <c r="B14" s="21">
        <f>1/(1+Assumptions!$B$26)^(1-0.5*Assumptions!$B$32)</f>
        <v>0.9533734524242413</v>
      </c>
      <c r="C14" s="21">
        <f>1/(1+Assumptions!$B$26)^(2-0.5*Assumptions!$B$32)</f>
        <v>0.8665410943457202</v>
      </c>
      <c r="D14" s="21">
        <f>1/(1+Assumptions!$B$26)^(3-0.5*Assumptions!$B$32)</f>
        <v>0.7876173458370421</v>
      </c>
      <c r="E14" s="21">
        <f>1/(1+Assumptions!$B$26)^(4-0.5*Assumptions!$B$32)</f>
        <v>0.7158818981709966</v>
      </c>
      <c r="F14" s="21">
        <f>1/(1+Assumptions!$B$26)^(5-0.5*Assumptions!$B$32)</f>
        <v>0.6506800476623106</v>
      </c>
    </row>
    <row r="15" spans="1:6" x14ac:dyDescent="0.25">
      <c r="A15" s="19" t="s">
        <v>51</v>
      </c>
      <c r="B15" s="20">
        <f>B13*B14</f>
        <v>-116556792696.38618</v>
      </c>
      <c r="C15" s="20">
        <f>C13*C14</f>
        <v>-104954181707.7147</v>
      </c>
      <c r="D15" s="20">
        <f>D13*D14</f>
        <v>-94506549151.78984</v>
      </c>
      <c r="E15" s="20">
        <f>E13*E14</f>
        <v>-85098923046.75221</v>
      </c>
      <c r="F15" s="20">
        <f>F13*F14</f>
        <v>-76627776262.21164</v>
      </c>
    </row>
    <row r="17" spans="1:2" x14ac:dyDescent="0.25">
      <c r="A17" s="22" t="s">
        <v>52</v>
      </c>
      <c r="B17" s="23">
        <f>SUM(B15:F15)</f>
        <v>-477744222864.8546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-117765676906.0481</v>
      </c>
    </row>
    <row r="5" spans="1:2" x14ac:dyDescent="0.25">
      <c r="A5" t="s">
        <v>56</v>
      </c>
      <c r="B5" s="18">
        <f>IF(Assumptions!$B$33=0,B4,B4-Forecast!F11-Forecast!F10-Forecast!F12)</f>
        <v>-52739208082.013145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0.24948680236292875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-477744222864.8546</v>
      </c>
    </row>
    <row r="12" spans="1:2" x14ac:dyDescent="0.25">
      <c r="A12" t="s">
        <v>63</v>
      </c>
      <c r="B12" s="18">
        <f>-Assumptions!B30</f>
        <v>-335670000000</v>
      </c>
    </row>
    <row r="13" spans="1:2" x14ac:dyDescent="0.25">
      <c r="A13" t="s">
        <v>64</v>
      </c>
      <c r="B13" s="18">
        <f>B11+B12</f>
        <v>-813414222864.8546</v>
      </c>
    </row>
    <row r="14" spans="1:2" x14ac:dyDescent="0.25">
      <c r="A14" s="19" t="s">
        <v>65</v>
      </c>
      <c r="B14" s="24">
        <f>B13/Assumptions!B31</f>
        <v>-220.79514175470288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136665570647.13846</v>
      </c>
    </row>
    <row r="18" spans="1:2" x14ac:dyDescent="0.25">
      <c r="A18" t="s">
        <v>60</v>
      </c>
      <c r="B18" s="18">
        <f>B17*Assumptions!B13</f>
        <v>1093324565177.1077</v>
      </c>
    </row>
    <row r="19" spans="1:2" x14ac:dyDescent="0.25">
      <c r="A19" t="s">
        <v>61</v>
      </c>
      <c r="B19" s="18">
        <f>B18/(1+Assumptions!B26)^(5-0.5*Assumptions!B32)</f>
        <v>711404480179.8154</v>
      </c>
    </row>
    <row r="20" spans="1:2" x14ac:dyDescent="0.25">
      <c r="A20" t="s">
        <v>62</v>
      </c>
      <c r="B20" s="18">
        <f>Forecast!B17+B19</f>
        <v>233660257314.96082</v>
      </c>
    </row>
    <row r="21" spans="1:2" x14ac:dyDescent="0.25">
      <c r="A21" t="s">
        <v>63</v>
      </c>
      <c r="B21" s="18">
        <f>-Assumptions!B30</f>
        <v>-335670000000</v>
      </c>
    </row>
    <row r="22" spans="1:2" x14ac:dyDescent="0.25">
      <c r="A22" t="s">
        <v>64</v>
      </c>
      <c r="B22" s="18">
        <f>B20+B21</f>
        <v>-102009742685.03918</v>
      </c>
    </row>
    <row r="23" spans="1:2" x14ac:dyDescent="0.25">
      <c r="A23" s="19" t="s">
        <v>65</v>
      </c>
      <c r="B23" s="25">
        <f>B22/Assumptions!B31</f>
        <v>-27.689773504545837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303.8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-220.79514175470288</v>
      </c>
    </row>
    <row r="29" spans="1:2" x14ac:dyDescent="0.25">
      <c r="A29" s="19" t="s">
        <v>73</v>
      </c>
      <c r="B29" s="12">
        <f>B28/B26-1</f>
        <v>-1.7267779517929653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0.080206</v>
      </c>
      <c r="B5" s="31">
        <v>-226.40731984487618</v>
      </c>
      <c r="C5" s="31">
        <v>-226.40731984487618</v>
      </c>
      <c r="D5" s="31">
        <v>-226.40731984487618</v>
      </c>
      <c r="E5" s="31">
        <v>-226.40731984487618</v>
      </c>
      <c r="F5" s="31">
        <v>-226.40731984487618</v>
      </c>
    </row>
    <row r="6" spans="1:6" x14ac:dyDescent="0.25">
      <c r="A6" s="30">
        <v>0.090206</v>
      </c>
      <c r="B6" s="31">
        <v>-223.54758956450397</v>
      </c>
      <c r="C6" s="31">
        <v>-223.54758956450397</v>
      </c>
      <c r="D6" s="31">
        <v>-223.54758956450397</v>
      </c>
      <c r="E6" s="31">
        <v>-223.54758956450397</v>
      </c>
      <c r="F6" s="31">
        <v>-223.54758956450397</v>
      </c>
    </row>
    <row r="7" spans="1:6" x14ac:dyDescent="0.25">
      <c r="A7" s="30">
        <v>0.100206</v>
      </c>
      <c r="B7" s="31">
        <v>-220.79506108899017</v>
      </c>
      <c r="C7" s="31">
        <v>-220.79506108899017</v>
      </c>
      <c r="D7" s="32">
        <v>-220.79506108899017</v>
      </c>
      <c r="E7" s="31">
        <v>-220.79506108899017</v>
      </c>
      <c r="F7" s="31">
        <v>-220.79506108899017</v>
      </c>
    </row>
    <row r="8" spans="1:6" x14ac:dyDescent="0.25">
      <c r="A8" s="30">
        <v>0.110206</v>
      </c>
      <c r="B8" s="31">
        <v>-218.14447433700462</v>
      </c>
      <c r="C8" s="31">
        <v>-218.14447433700462</v>
      </c>
      <c r="D8" s="31">
        <v>-218.14447433700462</v>
      </c>
      <c r="E8" s="31">
        <v>-218.14447433700462</v>
      </c>
      <c r="F8" s="31">
        <v>-218.14447433700462</v>
      </c>
    </row>
    <row r="9" spans="1:6" x14ac:dyDescent="0.25">
      <c r="A9" s="30">
        <v>0.120206</v>
      </c>
      <c r="B9" s="31">
        <v>-215.59088039808657</v>
      </c>
      <c r="C9" s="31">
        <v>-215.59088039808657</v>
      </c>
      <c r="D9" s="31">
        <v>-215.59088039808657</v>
      </c>
      <c r="E9" s="31">
        <v>-215.59088039808657</v>
      </c>
      <c r="F9" s="31">
        <v>-215.59088039808657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3333830000000</v>
      </c>
      <c r="C5" s="18">
        <v>3634860000000</v>
      </c>
      <c r="D5" s="18">
        <v>4312120000000</v>
      </c>
      <c r="E5" s="18">
        <v>3428745900000</v>
      </c>
      <c r="F5" s="8" t="s">
        <v>84</v>
      </c>
    </row>
    <row r="6" spans="1:6" x14ac:dyDescent="0.25">
      <c r="A6" t="s">
        <v>44</v>
      </c>
      <c r="B6" s="18">
        <v>-283630000000</v>
      </c>
      <c r="C6" s="18">
        <v>-7930000000</v>
      </c>
      <c r="D6" s="18">
        <v>83770000000</v>
      </c>
      <c r="E6" s="18">
        <v>-71374600000</v>
      </c>
      <c r="F6" s="8" t="s">
        <v>85</v>
      </c>
    </row>
    <row r="7" spans="1:6" x14ac:dyDescent="0.25">
      <c r="A7" t="s">
        <v>86</v>
      </c>
      <c r="B7" s="18">
        <v>202530000000</v>
      </c>
      <c r="C7" s="18">
        <v>232560000000</v>
      </c>
      <c r="D7" s="18">
        <v>272700000000</v>
      </c>
      <c r="E7" s="18">
        <v>248603600000</v>
      </c>
      <c r="F7" s="8" t="s">
        <v>87</v>
      </c>
    </row>
    <row r="8" spans="1:6" x14ac:dyDescent="0.25">
      <c r="A8" t="s">
        <v>88</v>
      </c>
      <c r="B8" s="18">
        <v>362820000000</v>
      </c>
      <c r="C8" s="18">
        <v>380420000000</v>
      </c>
      <c r="D8" s="18">
        <v>314140000000</v>
      </c>
      <c r="E8" s="18">
        <v>180956800000</v>
      </c>
      <c r="F8" s="8" t="s">
        <v>89</v>
      </c>
    </row>
    <row r="9" spans="1:6" x14ac:dyDescent="0.25">
      <c r="A9" t="s">
        <v>90</v>
      </c>
      <c r="B9" s="18">
        <v>90380000000</v>
      </c>
      <c r="C9" s="18">
        <v>-81560000000</v>
      </c>
      <c r="D9" s="18">
        <v>-73250000000</v>
      </c>
      <c r="E9" s="18">
        <v>31271300000</v>
      </c>
      <c r="F9" s="8" t="s">
        <v>91</v>
      </c>
    </row>
    <row r="10" spans="1:6" x14ac:dyDescent="0.25">
      <c r="A10" t="s">
        <v>92</v>
      </c>
      <c r="B10" s="18">
        <v>813950000000</v>
      </c>
      <c r="C10" s="18">
        <v>740040000000</v>
      </c>
      <c r="D10" s="18">
        <v>1098120000000</v>
      </c>
      <c r="E10" s="18">
        <v>1366134500000</v>
      </c>
      <c r="F10" s="8" t="s">
        <v>93</v>
      </c>
    </row>
    <row r="11" spans="1:6" x14ac:dyDescent="0.25">
      <c r="A11" t="s">
        <v>94</v>
      </c>
      <c r="B11" s="18">
        <v>478280000000</v>
      </c>
      <c r="C11" s="18">
        <v>676290000000</v>
      </c>
      <c r="D11" s="18">
        <v>599290000000</v>
      </c>
      <c r="E11" s="18">
        <v>513764200000</v>
      </c>
      <c r="F11" s="8" t="s">
        <v>95</v>
      </c>
    </row>
    <row r="12" spans="1:6" x14ac:dyDescent="0.25">
      <c r="A12" t="s">
        <v>32</v>
      </c>
      <c r="B12" s="34">
        <v>3684022286</v>
      </c>
      <c r="C12" s="34">
        <v>3533978150</v>
      </c>
      <c r="D12" s="34">
        <v>3325292749</v>
      </c>
      <c r="E12" s="34">
        <v>3321146115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