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<sst xmlns="http://schemas.openxmlformats.org/spreadsheetml/2006/main" count="119" uniqueCount="106">
  <si>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T-Mobile US, Inc. (TMUS)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</si>
  <si>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</si>
  <si>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</si>
  <si>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</si>
  <si>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</si>
  <si>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</si>
  <si>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</si>
  <si>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</si>
  <si>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</si>
  <si>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</si>
  <si>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</si>
  <si>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</si>
  <si>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</si>
  <si>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</si>
  <si>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</si>
  <si>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</si>
  <si>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</si>
  <si>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</si>
  <si>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</si>
  <si>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</si>
  <si>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</si>
  <si>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</si>
  <si>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</si>
  <si>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</si>
  <si>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4.9x interest cover. Book interest / average debt was lower, at 3.2%.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</si>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</sst>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0.07277949597436284</v>
      </c>
    </row>
    <row r="7" spans="1:2" x14ac:dyDescent="0.25">
      <c r="A7" t="s">
        <v>4</v>
      </c>
      <c r="B7" s="5">
        <v>0.17863853221188147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0.1615991276818548</v>
      </c>
    </row>
    <row r="10" spans="1:3" x14ac:dyDescent="0.25">
      <c r="A10" t="s">
        <v>7</v>
      </c>
      <c r="B10" s="5">
        <v>0.16202404691093486</v>
      </c>
      <c r="C10" s="6" t="s">
        <v>8</v>
      </c>
    </row>
    <row r="11" spans="1:2" x14ac:dyDescent="0.25">
      <c r="A11" t="s">
        <v>9</v>
      </c>
      <c r="B11" s="5">
        <v>0.02268798642834387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8.80659938499922</v>
      </c>
    </row>
    <row r="14" spans="1:3" x14ac:dyDescent="0.25">
      <c r="A14" t="s">
        <v>12</v>
      </c>
      <c r="B14" s="5">
        <v>0.09064004375986873</v>
      </c>
      <c r="C14" s="6" t="s">
        <v>13</v>
      </c>
    </row>
    <row r="15" spans="1:3" x14ac:dyDescent="0.25">
      <c r="A15" t="s">
        <v>14</v>
      </c>
      <c r="B15" s="5">
        <v>0.1615991276818548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0.5423899999999999</v>
      </c>
      <c r="C19" s="6" t="s">
        <v>21</v>
      </c>
    </row>
    <row r="20" spans="1:2" x14ac:dyDescent="0.25">
      <c r="A20" t="s">
        <v>22</v>
      </c>
      <c r="B20" s="9">
        <f>B17+B19*B18</f>
        <v>0.071883097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165712609280</v>
      </c>
    </row>
    <row r="23" spans="1:2" x14ac:dyDescent="0.25">
      <c r="A23" t="s">
        <v>26</v>
      </c>
      <c r="B23" s="10">
        <v>122269000000</v>
      </c>
    </row>
    <row r="24" spans="1:2" x14ac:dyDescent="0.25">
      <c r="A24" t="s">
        <v>27</v>
      </c>
      <c r="B24" s="9">
        <f>B22/(B22+B23)</f>
        <v>0.5754277493424249</v>
      </c>
    </row>
    <row r="25" spans="1:2" x14ac:dyDescent="0.25">
      <c r="A25" t="s">
        <v>28</v>
      </c>
      <c r="B25" s="9">
        <f>1-B24</f>
        <v>0.4245722506575751</v>
      </c>
    </row>
    <row r="26" spans="1:2" x14ac:dyDescent="0.25">
      <c r="A26" t="s">
        <v>29</v>
      </c>
      <c r="B26" s="11">
        <f>B24*B20+B25*B21*(1-B8)</f>
        <v>0.06039481002929876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88309000000</v>
      </c>
      <c r="C29" s="6" t="s">
        <v>32</v>
      </c>
    </row>
    <row r="30" spans="1:2" x14ac:dyDescent="0.25">
      <c r="A30" t="s">
        <v>33</v>
      </c>
      <c r="B30" s="10">
        <v>116671000000</v>
      </c>
    </row>
    <row r="31" spans="1:2" x14ac:dyDescent="0.25">
      <c r="A31" t="s">
        <v>34</v>
      </c>
      <c r="B31" s="12">
        <v>1131076251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0.07277949597436284</v>
      </c>
      <c r="C5" s="5">
        <v>0.04377839037206788</v>
      </c>
      <c r="D5" s="5">
        <v>0.041431091575559395</v>
      </c>
      <c r="E5" s="5">
        <v>0.039083792779050906</v>
      </c>
      <c r="F5" s="5">
        <v>0.036736493982542424</v>
      </c>
      <c r="G5" s="5">
        <v>0.034389195186033936</v>
      </c>
      <c r="H5" s="5">
        <v>0.032041896389525454</v>
      </c>
      <c r="I5" s="5">
        <v>0.029694597593016972</v>
      </c>
      <c r="J5" s="5">
        <v>0.027347298796508487</v>
      </c>
      <c r="K5" s="5">
        <v>0.025</v>
      </c>
    </row>
    <row r="6" spans="1:11" x14ac:dyDescent="0.25">
      <c r="A6" t="s">
        <v>50</v>
      </c>
      <c r="B6" s="18">
        <f>Assumptions!B29*(1+B5)</f>
        <v>94736084510.00002</v>
      </c>
      <c r="C6" s="18">
        <f>B6*(1+C5)</f>
        <v>98883477800.00002</v>
      </c>
      <c r="D6" s="18">
        <f>C6*(1+D5)</f>
        <v>102980328224.04161</v>
      </c>
      <c r="E6" s="18">
        <f>D6*(1+E5)</f>
        <v>107005190032.66869</v>
      </c>
      <c r="F6" s="18">
        <f>E6*(1+F5)</f>
        <v>110936185552.40463</v>
      </c>
      <c r="G6" s="18">
        <f>F6*(1+G5)</f>
        <v>114751191690.56036</v>
      </c>
      <c r="H6" s="18">
        <f>G6*(1+H5)</f>
        <v>118428037485.28387</v>
      </c>
      <c r="I6" s="18">
        <f>H6*(1+I5)</f>
        <v>121944710402.1401</v>
      </c>
      <c r="J6" s="18">
        <f>I6*(1+J5)</f>
        <v>125279568834.16112</v>
      </c>
      <c r="K6" s="18">
        <f>J6*(1+K5)</f>
        <v>128411558055.01514</v>
      </c>
    </row>
    <row r="7" spans="1:11" x14ac:dyDescent="0.25">
      <c r="A7" t="s">
        <v>4</v>
      </c>
      <c r="B7" s="9">
        <f>Assumptions!B7</f>
        <v>0.17863853221188147</v>
      </c>
      <c r="C7" s="9">
        <f>Assumptions!B7</f>
        <v>0.17863853221188147</v>
      </c>
      <c r="D7" s="9">
        <f>Assumptions!B7</f>
        <v>0.17863853221188147</v>
      </c>
      <c r="E7" s="9">
        <f>Assumptions!B7</f>
        <v>0.17863853221188147</v>
      </c>
      <c r="F7" s="9">
        <f>Assumptions!B7</f>
        <v>0.17863853221188147</v>
      </c>
      <c r="G7" s="9">
        <f>Assumptions!B7</f>
        <v>0.17863853221188147</v>
      </c>
      <c r="H7" s="9">
        <f>Assumptions!B7</f>
        <v>0.17863853221188147</v>
      </c>
      <c r="I7" s="9">
        <f>Assumptions!B7</f>
        <v>0.17863853221188147</v>
      </c>
      <c r="J7" s="9">
        <f>Assumptions!B7</f>
        <v>0.17863853221188147</v>
      </c>
      <c r="K7" s="9">
        <f>Assumptions!B7</f>
        <v>0.17863853221188147</v>
      </c>
    </row>
    <row r="8" spans="1:11" x14ac:dyDescent="0.25">
      <c r="A8" t="s">
        <v>51</v>
      </c>
      <c r="B8" s="18">
        <f>B6*B7</f>
        <v>16923515084.367163</v>
      </c>
      <c r="C8" s="18">
        <f>C6*C7</f>
        <v>17664399334.19817</v>
      </c>
      <c r="D8" s="18">
        <f>D6*D7</f>
        <v>18396254680.640583</v>
      </c>
      <c r="E8" s="18">
        <f>E6*E7</f>
        <v>19115250086.489384</v>
      </c>
      <c r="F8" s="18">
        <f>F6*F7</f>
        <v>19817477356.266495</v>
      </c>
      <c r="G8" s="18">
        <f>G6*G7</f>
        <v>20498984453.165955</v>
      </c>
      <c r="H8" s="18">
        <f>H6*H7</f>
        <v>21155810789.10479</v>
      </c>
      <c r="I8" s="18">
        <f>I6*I7</f>
        <v>21784024077.241264</v>
      </c>
      <c r="J8" s="18">
        <f>J6*J7</f>
        <v>22379758292.671913</v>
      </c>
      <c r="K8" s="18">
        <f>K6*K7</f>
        <v>22939252249.98871</v>
      </c>
    </row>
    <row r="9" spans="1:11" x14ac:dyDescent="0.25">
      <c r="A9" t="s">
        <v>52</v>
      </c>
      <c r="B9" s="18">
        <f>B8*(1-Assumptions!B8)</f>
        <v>13369576916.650059</v>
      </c>
      <c r="C9" s="18">
        <f>C8*(1-Assumptions!B8)</f>
        <v>13954875474.016554</v>
      </c>
      <c r="D9" s="18">
        <f>D8*(1-Assumptions!B8)</f>
        <v>14533041197.70606</v>
      </c>
      <c r="E9" s="18">
        <f>E8*(1-Assumptions!B8)</f>
        <v>15101047568.326614</v>
      </c>
      <c r="F9" s="18">
        <f>F8*(1-Assumptions!B8)</f>
        <v>15655807111.450531</v>
      </c>
      <c r="G9" s="18">
        <f>G8*(1-Assumptions!B8)</f>
        <v>16194197718.001104</v>
      </c>
      <c r="H9" s="18">
        <f>H8*(1-Assumptions!B8)</f>
        <v>16713090523.392784</v>
      </c>
      <c r="I9" s="18">
        <f>I8*(1-Assumptions!B8)</f>
        <v>17209379021.0206</v>
      </c>
      <c r="J9" s="18">
        <f>J8*(1-Assumptions!B8)</f>
        <v>17680009051.21081</v>
      </c>
      <c r="K9" s="18">
        <f>K8*(1-Assumptions!B8)</f>
        <v>18122009277.49108</v>
      </c>
    </row>
    <row r="10" spans="1:11" x14ac:dyDescent="0.25">
      <c r="A10" t="s">
        <v>53</v>
      </c>
      <c r="B10" s="18">
        <f>B6*Assumptions!B9</f>
        <v>15309268616.81048</v>
      </c>
      <c r="C10" s="18">
        <f>C6*Assumptions!B9</f>
        <v>15979483754.628057</v>
      </c>
      <c r="D10" s="18">
        <f>D6*Assumptions!B9</f>
        <v>16641531209.396215</v>
      </c>
      <c r="E10" s="18">
        <f>E6*Assumptions!B9</f>
        <v>17291945366.710365</v>
      </c>
      <c r="F10" s="18">
        <f>F6*Assumptions!B9</f>
        <v>17927190813.62097</v>
      </c>
      <c r="G10" s="18">
        <f>G6*Assumptions!B9</f>
        <v>18543692477.64786</v>
      </c>
      <c r="H10" s="18">
        <f>H6*Assumptions!B9</f>
        <v>19137867550.695877</v>
      </c>
      <c r="I10" s="18">
        <f>I6*Assumptions!B9</f>
        <v>19706158826.40225</v>
      </c>
      <c r="J10" s="18">
        <f>J6*Assumptions!B9</f>
        <v>20245069039.95932</v>
      </c>
      <c r="K10" s="18">
        <f>K6*Assumptions!B9</f>
        <v>20751195765.9583</v>
      </c>
    </row>
    <row r="11" spans="1:11" x14ac:dyDescent="0.25">
      <c r="A11" t="s">
        <v>54</v>
      </c>
      <c r="B11" s="18">
        <f>-B6*B19</f>
        <v>-15349523800.806532</v>
      </c>
      <c r="C11" s="18">
        <f>-C6*C19</f>
        <v>-16444497289.989157</v>
      </c>
      <c r="D11" s="18">
        <f>-D6*D19</f>
        <v>-17566331995.173885</v>
      </c>
      <c r="E11" s="18">
        <f>-E6*E19</f>
        <v>-18710629347.358597</v>
      </c>
      <c r="F11" s="18">
        <f>-F6*F19</f>
        <v>-19872546449.0289</v>
      </c>
      <c r="G11" s="18">
        <f>-G6*G19</f>
        <v>-21046821043.245846</v>
      </c>
      <c r="H11" s="18">
        <f>-H6*H19</f>
        <v>-22227803342.71378</v>
      </c>
      <c r="I11" s="18">
        <f>-I6*I19</f>
        <v>-23409494608.288322</v>
      </c>
      <c r="J11" s="18">
        <f>-J6*J19</f>
        <v>-24585592239.76624</v>
      </c>
      <c r="K11" s="18">
        <f>-K6*K19</f>
        <v>-25749541013.203945</v>
      </c>
    </row>
    <row r="12" spans="1:11" x14ac:dyDescent="0.25">
      <c r="A12" t="s">
        <v>55</v>
      </c>
      <c r="B12" s="18">
        <f>-(B6-Assumptions!B29)*Assumptions!B11</f>
        <v>-145817606.13669947</v>
      </c>
      <c r="C12" s="18">
        <f>-(C6-B6)*Assumptions!B11</f>
        <v>-94096002.67652443</v>
      </c>
      <c r="D12" s="18">
        <f>-(D6-C6)*Assumptions!B11</f>
        <v>-92949286.81961055</v>
      </c>
      <c r="E12" s="18">
        <f>-(E6-D6)*Assumptions!B11</f>
        <v>-91316010.09009065</v>
      </c>
      <c r="F12" s="18">
        <f>-(F6-E6)*Assumptions!B11</f>
        <v>-89186373.00164972</v>
      </c>
      <c r="G12" s="18">
        <f>-(G6-F6)*Assumptions!B11</f>
        <v>-86554807.48652579</v>
      </c>
      <c r="H12" s="18">
        <f>-(H6-G6)*Assumptions!B11</f>
        <v>-83420227.48980024</v>
      </c>
      <c r="I12" s="18">
        <f>-(I6-H6)*Assumptions!B11</f>
        <v>-79786227.41055864</v>
      </c>
      <c r="J12" s="18">
        <f>-(J6-I6)*Assumptions!B11</f>
        <v>-75661222.84614083</v>
      </c>
      <c r="K12" s="18">
        <f>-(K6-J6)*Assumptions!B11</f>
        <v>-71058528.93645528</v>
      </c>
    </row>
    <row r="13" spans="1:11" x14ac:dyDescent="0.25">
      <c r="A13" s="19" t="s">
        <v>56</v>
      </c>
      <c r="B13" s="20">
        <f>B9+B10+B11+B12</f>
        <v>13183504126.51731</v>
      </c>
      <c r="C13" s="20">
        <f>C9+C10+C11+C12</f>
        <v>13395765935.97893</v>
      </c>
      <c r="D13" s="20">
        <f>D9+D10+D11+D12</f>
        <v>13515291125.10878</v>
      </c>
      <c r="E13" s="20">
        <f>E9+E10+E11+E12</f>
        <v>13591047577.588293</v>
      </c>
      <c r="F13" s="20">
        <f>F9+F10+F11+F12</f>
        <v>13621265103.040953</v>
      </c>
      <c r="G13" s="20">
        <f>G9+G10+G11+G12</f>
        <v>13604514344.916592</v>
      </c>
      <c r="H13" s="20">
        <f>H9+H10+H11+H12</f>
        <v>13539734503.885082</v>
      </c>
      <c r="I13" s="20">
        <f>I9+I10+I11+I12</f>
        <v>13426257011.72397</v>
      </c>
      <c r="J13" s="20">
        <f>J9+J10+J11+J12</f>
        <v>13263824628.557756</v>
      </c>
      <c r="K13" s="20">
        <f>K9+K10+K11+K12</f>
        <v>13052605501.308987</v>
      </c>
    </row>
    <row r="14" spans="1:11" x14ac:dyDescent="0.25">
      <c r="A14" t="s">
        <v>57</v>
      </c>
      <c r="B14" s="21">
        <f>1/(1+Assumptions!$B$26)^(1-0.5*Assumptions!$B$32)</f>
        <v>0.971105029191709</v>
      </c>
      <c r="C14" s="21">
        <f>1/(1+Assumptions!$B$26)^(2-0.5*Assumptions!$B$32)</f>
        <v>0.9157957206192636</v>
      </c>
      <c r="D14" s="21">
        <f>1/(1+Assumptions!$B$26)^(3-0.5*Assumptions!$B$32)</f>
        <v>0.8636365549487744</v>
      </c>
      <c r="E14" s="21">
        <f>1/(1+Assumptions!$B$26)^(4-0.5*Assumptions!$B$32)</f>
        <v>0.8144481157210796</v>
      </c>
      <c r="F14" s="21">
        <f>1/(1+Assumptions!$B$26)^(5-0.5*Assumptions!$B$32)</f>
        <v>0.768061205145446</v>
      </c>
      <c r="G14" s="21">
        <f>1/(1+Assumptions!$B$26)^(6-0.5*Assumptions!$B$32)</f>
        <v>0.7243162620950817</v>
      </c>
      <c r="H14" s="21">
        <f>1/(1+Assumptions!$B$26)^(7-0.5*Assumptions!$B$32)</f>
        <v>0.6830628132507257</v>
      </c>
      <c r="I14" s="21">
        <f>1/(1+Assumptions!$B$26)^(8-0.5*Assumptions!$B$32)</f>
        <v>0.6441589555043679</v>
      </c>
      <c r="J14" s="21">
        <f>1/(1+Assumptions!$B$26)^(9-0.5*Assumptions!$B$32)</f>
        <v>0.6074708678426761</v>
      </c>
      <c r="K14" s="21">
        <f>1/(1+Assumptions!$B$26)^(10-0.5*Assumptions!$B$32)</f>
        <v>0.5728723510311142</v>
      </c>
    </row>
    <row r="15" spans="1:11" x14ac:dyDescent="0.25">
      <c r="A15" s="19" t="s">
        <v>58</v>
      </c>
      <c r="B15" s="20">
        <f>B13*B14</f>
        <v>12802567159.630608</v>
      </c>
      <c r="C15" s="20">
        <f>C13*C14</f>
        <v>12267785118.586807</v>
      </c>
      <c r="D15" s="20">
        <f>D13*D14</f>
        <v>11672299466.418692</v>
      </c>
      <c r="E15" s="20">
        <f>E13*E14</f>
        <v>11069203090.242329</v>
      </c>
      <c r="F15" s="20">
        <f>F13*F14</f>
        <v>10461965290.647242</v>
      </c>
      <c r="G15" s="20">
        <f>G13*G14</f>
        <v>9853970977.928905</v>
      </c>
      <c r="H15" s="20">
        <f>H13*H14</f>
        <v>9248489140.891663</v>
      </c>
      <c r="I15" s="20">
        <f>I13*I14</f>
        <v>8648643693.005308</v>
      </c>
      <c r="J15" s="20">
        <f>J13*J14</f>
        <v>8057387058.023042</v>
      </c>
      <c r="K15" s="20">
        <f>K13*K14</f>
        <v>7477476800.616534</v>
      </c>
    </row>
    <row r="17" spans="1:2" x14ac:dyDescent="0.25">
      <c r="A17" s="22" t="s">
        <v>59</v>
      </c>
      <c r="B17" s="23">
        <f>SUM(B15:K15)</f>
        <v>101559787795.99112</v>
      </c>
    </row>
    <row r="19" spans="1:11" x14ac:dyDescent="0.25">
      <c r="A19" t="s">
        <v>7</v>
      </c>
      <c r="B19" s="9">
        <f>Assumptions!$B$10+($B$20-Assumptions!$B$10)*0/9</f>
        <v>0.16202404691093486</v>
      </c>
      <c r="C19" s="9">
        <f>Assumptions!$B$10+($B$20-Assumptions!$B$10)*1/9</f>
        <v>0.16630176907055705</v>
      </c>
      <c r="D19" s="9">
        <f>Assumptions!$B$10+($B$20-Assumptions!$B$10)*2/9</f>
        <v>0.17057949123017924</v>
      </c>
      <c r="E19" s="9">
        <f>Assumptions!$B$10+($B$20-Assumptions!$B$10)*3/9</f>
        <v>0.1748572133898014</v>
      </c>
      <c r="F19" s="9">
        <f>Assumptions!$B$10+($B$20-Assumptions!$B$10)*4/9</f>
        <v>0.17913493554942359</v>
      </c>
      <c r="G19" s="9">
        <f>Assumptions!$B$10+($B$20-Assumptions!$B$10)*5/9</f>
        <v>0.18341265770904577</v>
      </c>
      <c r="H19" s="9">
        <f>Assumptions!$B$10+($B$20-Assumptions!$B$10)*6/9</f>
        <v>0.18769037986866796</v>
      </c>
      <c r="I19" s="9">
        <f>Assumptions!$B$10+($B$20-Assumptions!$B$10)*7/9</f>
        <v>0.19196810202829012</v>
      </c>
      <c r="J19" s="9">
        <f>Assumptions!$B$10+($B$20-Assumptions!$B$10)*8/9</f>
        <v>0.1962458241879123</v>
      </c>
      <c r="K19" s="9">
        <f>Assumptions!$B$10+($B$20-Assumptions!$B$10)*9/9</f>
        <v>0.2005235463475345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0.2005235463475345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13052605501.308987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18122009277.49108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0.2758162834324321</v>
      </c>
    </row>
    <row r="7" spans="1:2" x14ac:dyDescent="0.25">
      <c r="A7" t="s">
        <v>66</v>
      </c>
      <c r="B7" s="18">
        <f>-MAX(B5,0)*B6</f>
        <v>-4998345247.245644</v>
      </c>
    </row>
    <row r="8" spans="1:2" x14ac:dyDescent="0.25">
      <c r="A8" t="s">
        <v>67</v>
      </c>
      <c r="B8" s="18">
        <f>IF(OR(Assumptions!$B$33=0,Assumptions!B12&lt;=0),B5,MAX(B5+B7,0))</f>
        <v>13123664030.245438</v>
      </c>
    </row>
    <row r="9" spans="1:2" x14ac:dyDescent="0.25">
      <c r="A9" t="s">
        <v>68</v>
      </c>
      <c r="B9" s="18">
        <f>B8*(1+Assumptions!B12)/(Assumptions!B26-Assumptions!B12)</f>
        <v>380048815627.6757</v>
      </c>
    </row>
    <row r="10" spans="1:2" x14ac:dyDescent="0.25">
      <c r="A10" t="s">
        <v>69</v>
      </c>
      <c r="B10" s="18">
        <f>B9/(1+Assumptions!B26)^(10-0.5*Assumptions!B32)</f>
        <v>217719458515.21704</v>
      </c>
    </row>
    <row r="11" spans="1:2" x14ac:dyDescent="0.25">
      <c r="A11" t="s">
        <v>70</v>
      </c>
      <c r="B11" s="18">
        <f>Forecast!B17+B10</f>
        <v>319279246311.2081</v>
      </c>
    </row>
    <row r="12" spans="1:2" x14ac:dyDescent="0.25">
      <c r="A12" t="s">
        <v>71</v>
      </c>
      <c r="B12" s="18">
        <f>-Assumptions!B30</f>
        <v>-116671000000</v>
      </c>
    </row>
    <row r="13" spans="1:2" x14ac:dyDescent="0.25">
      <c r="A13" t="s">
        <v>72</v>
      </c>
      <c r="B13" s="18">
        <f>B11+B12</f>
        <v>202608246311.20813</v>
      </c>
    </row>
    <row r="14" spans="1:2" x14ac:dyDescent="0.25">
      <c r="A14" s="19" t="s">
        <v>73</v>
      </c>
      <c r="B14" s="24">
        <f>B13/Assumptions!B31</f>
        <v>179.12872463910315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43690448015.94701</v>
      </c>
    </row>
    <row r="18" spans="1:2" x14ac:dyDescent="0.25">
      <c r="A18" t="s">
        <v>68</v>
      </c>
      <c r="B18" s="18">
        <f>B17*Assumptions!B13</f>
        <v>384764272627.5793</v>
      </c>
    </row>
    <row r="19" spans="1:2" x14ac:dyDescent="0.25">
      <c r="A19" t="s">
        <v>69</v>
      </c>
      <c r="B19" s="18">
        <f>B18/(1+Assumptions!B26)^(10-0.5*Assumptions!B32)</f>
        <v>220420813452.93793</v>
      </c>
    </row>
    <row r="20" spans="1:2" x14ac:dyDescent="0.25">
      <c r="A20" t="s">
        <v>70</v>
      </c>
      <c r="B20" s="18">
        <f>Forecast!B17+B19</f>
        <v>321980601248.9291</v>
      </c>
    </row>
    <row r="21" spans="1:2" x14ac:dyDescent="0.25">
      <c r="A21" t="s">
        <v>71</v>
      </c>
      <c r="B21" s="18">
        <f>-Assumptions!B30</f>
        <v>-116671000000</v>
      </c>
    </row>
    <row r="22" spans="1:2" x14ac:dyDescent="0.25">
      <c r="A22" t="s">
        <v>72</v>
      </c>
      <c r="B22" s="18">
        <f>B20+B21</f>
        <v>205309601248.92908</v>
      </c>
    </row>
    <row r="23" spans="1:2" x14ac:dyDescent="0.25">
      <c r="A23" s="19" t="s">
        <v>73</v>
      </c>
      <c r="B23" s="25">
        <f>B22/Assumptions!B31</f>
        <v>181.51702952600414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156.44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179.12872463910315</v>
      </c>
    </row>
    <row r="29" spans="1:2" x14ac:dyDescent="0.25">
      <c r="A29" s="19" t="s">
        <v>81</v>
      </c>
      <c r="B29" s="11">
        <f>B28/B26-1</f>
        <v>0.14503147941129613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0.040395</v>
      </c>
      <c r="B5" s="31">
        <v>367.93347253251966</v>
      </c>
      <c r="C5" s="31">
        <v>426.6515371390241</v>
      </c>
      <c r="D5" s="31">
        <v>525.1455729130581</v>
      </c>
      <c r="E5" s="31">
        <v>720.8123636461513</v>
      </c>
      <c r="F5" s="31">
        <v>1283.826390225401</v>
      </c>
    </row>
    <row r="6" spans="1:6" x14ac:dyDescent="0.25">
      <c r="A6" s="30">
        <v>0.050395</v>
      </c>
      <c r="B6" s="31">
        <v>236.79052160399607</v>
      </c>
      <c r="C6" s="31">
        <v>256.18544177505606</v>
      </c>
      <c r="D6" s="31">
        <v>284.15245734527826</v>
      </c>
      <c r="E6" s="31">
        <v>326.9961248720259</v>
      </c>
      <c r="F6" s="31">
        <v>399.21139592060536</v>
      </c>
    </row>
    <row r="7" spans="1:6" x14ac:dyDescent="0.25">
      <c r="A7" s="30">
        <v>0.060395</v>
      </c>
      <c r="B7" s="31">
        <v>163.39656720999997</v>
      </c>
      <c r="C7" s="31">
        <v>170.01099112878603</v>
      </c>
      <c r="D7" s="32">
        <v>179.12729129720688</v>
      </c>
      <c r="E7" s="31">
        <v>191.9801492005238</v>
      </c>
      <c r="F7" s="31">
        <v>210.77662788356614</v>
      </c>
    </row>
    <row r="8" spans="1:6" x14ac:dyDescent="0.25">
      <c r="A8" s="30">
        <v>0.070395</v>
      </c>
      <c r="B8" s="31">
        <v>116.47852012463358</v>
      </c>
      <c r="C8" s="31">
        <v>117.95617840569469</v>
      </c>
      <c r="D8" s="31">
        <v>120.22577697204564</v>
      </c>
      <c r="E8" s="31">
        <v>123.58138945357499</v>
      </c>
      <c r="F8" s="31">
        <v>128.4832562437755</v>
      </c>
    </row>
    <row r="9" spans="1:6" x14ac:dyDescent="0.25">
      <c r="A9" s="30">
        <v>0.080395</v>
      </c>
      <c r="B9" s="31">
        <v>83.89189173553153</v>
      </c>
      <c r="C9" s="31">
        <v>83.07775221650684</v>
      </c>
      <c r="D9" s="31">
        <v>82.47810429112765</v>
      </c>
      <c r="E9" s="31">
        <v>82.15679107685962</v>
      </c>
      <c r="F9" s="31">
        <v>82.20578351029641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88309000000</v>
      </c>
      <c r="C5" s="18">
        <v>81400000000</v>
      </c>
      <c r="D5" s="18">
        <v>78558000000</v>
      </c>
      <c r="E5" s="18">
        <v>79571000000</v>
      </c>
      <c r="F5" s="6" t="s">
        <v>91</v>
      </c>
    </row>
    <row r="6" spans="1:6" x14ac:dyDescent="0.25">
      <c r="A6" t="s">
        <v>51</v>
      </c>
      <c r="B6" s="18">
        <v>18557000000</v>
      </c>
      <c r="C6" s="18">
        <v>18010000000</v>
      </c>
      <c r="D6" s="18">
        <v>14241000000</v>
      </c>
      <c r="E6" s="18">
        <v>8107000000</v>
      </c>
      <c r="F6" s="6" t="s">
        <v>92</v>
      </c>
    </row>
    <row r="7" spans="1:6" x14ac:dyDescent="0.25">
      <c r="A7" t="s">
        <v>93</v>
      </c>
      <c r="B7" s="18">
        <v>13508000000</v>
      </c>
      <c r="C7" s="18">
        <v>12919000000</v>
      </c>
      <c r="D7" s="18">
        <v>12818000000</v>
      </c>
      <c r="E7" s="18">
        <v>13651000000</v>
      </c>
      <c r="F7" s="6" t="s">
        <v>94</v>
      </c>
    </row>
    <row r="8" spans="1:6" x14ac:dyDescent="0.25">
      <c r="A8" t="s">
        <v>95</v>
      </c>
      <c r="B8" s="18">
        <v>12523000000</v>
      </c>
      <c r="C8" s="18">
        <v>12311000000</v>
      </c>
      <c r="D8" s="18">
        <v>10811000000</v>
      </c>
      <c r="E8" s="18">
        <v>17301000000</v>
      </c>
      <c r="F8" s="6" t="s">
        <v>96</v>
      </c>
    </row>
    <row r="9" spans="1:6" x14ac:dyDescent="0.25">
      <c r="A9" t="s">
        <v>97</v>
      </c>
      <c r="B9" s="18">
        <v>2394000000</v>
      </c>
      <c r="C9" s="18">
        <v>7009000000</v>
      </c>
      <c r="D9" s="18">
        <v>7058000000</v>
      </c>
      <c r="E9" s="18">
        <v>3055000000</v>
      </c>
      <c r="F9" s="6" t="s">
        <v>98</v>
      </c>
    </row>
    <row r="10" spans="1:6" x14ac:dyDescent="0.25">
      <c r="A10" t="s">
        <v>99</v>
      </c>
      <c r="B10" s="18">
        <v>122269000000</v>
      </c>
      <c r="C10" s="18">
        <v>113944000000</v>
      </c>
      <c r="D10" s="18">
        <v>113086000000</v>
      </c>
      <c r="E10" s="18">
        <v>111792000000</v>
      </c>
      <c r="F10" s="6" t="s">
        <v>100</v>
      </c>
    </row>
    <row r="11" spans="1:6" x14ac:dyDescent="0.25">
      <c r="A11" t="s">
        <v>101</v>
      </c>
      <c r="B11" s="18">
        <v>5598000000</v>
      </c>
      <c r="C11" s="18">
        <v>5409000000</v>
      </c>
      <c r="D11" s="18">
        <v>5135000000</v>
      </c>
      <c r="E11" s="18">
        <v>4507000000</v>
      </c>
      <c r="F11" s="6" t="s">
        <v>102</v>
      </c>
    </row>
    <row r="12" spans="1:6" x14ac:dyDescent="0.25">
      <c r="A12" t="s">
        <v>34</v>
      </c>
      <c r="B12" s="34">
        <v>1131076251</v>
      </c>
      <c r="C12" s="34">
        <v>1173213898</v>
      </c>
      <c r="D12" s="34">
        <v>1200286264</v>
      </c>
      <c r="E12" s="34">
        <v>1255376769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