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<sst xmlns="http://schemas.openxmlformats.org/spreadsheetml/2006/main" count="111" uniqueCount="99">
  <si>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T-Mobile US, Inc. (TMUS)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</si>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</sst>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0.03534093085617829</v>
      </c>
    </row>
    <row r="7" spans="1:2" x14ac:dyDescent="0.25">
      <c r="A7" t="s">
        <v>5</v>
      </c>
      <c r="B7" s="6">
        <v>0.17863853221188147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0.1615991276818548</v>
      </c>
    </row>
    <row r="10" spans="1:2" x14ac:dyDescent="0.25">
      <c r="A10" t="s">
        <v>8</v>
      </c>
      <c r="B10" s="6">
        <v>0.16202404691093486</v>
      </c>
    </row>
    <row r="11" spans="1:2" x14ac:dyDescent="0.25">
      <c r="A11" t="s">
        <v>9</v>
      </c>
      <c r="B11" s="6">
        <v>0.3465045592705167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9.26470910562919</v>
      </c>
    </row>
    <row r="14" spans="1:3" x14ac:dyDescent="0.25">
      <c r="A14" t="s">
        <v>12</v>
      </c>
      <c r="B14" s="6">
        <v>0.09064004375986873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0.55177</v>
      </c>
      <c r="C19" s="8" t="s">
        <v>19</v>
      </c>
    </row>
    <row r="20" spans="1:2" x14ac:dyDescent="0.25">
      <c r="A20" t="s">
        <v>20</v>
      </c>
      <c r="B20" s="10">
        <f>B17+B19*B18</f>
        <v>0.08032735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180401897472</v>
      </c>
    </row>
    <row r="23" spans="1:2" x14ac:dyDescent="0.25">
      <c r="A23" t="s">
        <v>24</v>
      </c>
      <c r="B23" s="11">
        <v>122269000000</v>
      </c>
    </row>
    <row r="24" spans="1:2" x14ac:dyDescent="0.25">
      <c r="A24" t="s">
        <v>25</v>
      </c>
      <c r="B24" s="10">
        <f>B22/(B22+B23)</f>
        <v>0.5960331798622592</v>
      </c>
    </row>
    <row r="25" spans="1:2" x14ac:dyDescent="0.25">
      <c r="A25" t="s">
        <v>26</v>
      </c>
      <c r="B25" s="10">
        <f>1-B24</f>
        <v>0.40396682013774077</v>
      </c>
    </row>
    <row r="26" spans="1:2" x14ac:dyDescent="0.25">
      <c r="A26" t="s">
        <v>27</v>
      </c>
      <c r="B26" s="12">
        <f>B24*B20+B25*B21*(1-B8)</f>
        <v>0.06382807257009124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88309000000</v>
      </c>
      <c r="C29" s="8" t="s">
        <v>30</v>
      </c>
    </row>
    <row r="30" spans="1:2" x14ac:dyDescent="0.25">
      <c r="A30" t="s">
        <v>31</v>
      </c>
      <c r="B30" s="11">
        <v>116671000000</v>
      </c>
    </row>
    <row r="31" spans="1:2" x14ac:dyDescent="0.25">
      <c r="A31" t="s">
        <v>32</v>
      </c>
      <c r="B31" s="13">
        <v>1131076251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0.03534093085617829</v>
      </c>
      <c r="C5" s="10">
        <f>Assumptions!B6</f>
        <v>0.03534093085617829</v>
      </c>
      <c r="D5" s="10">
        <f>Assumptions!B6</f>
        <v>0.03534093085617829</v>
      </c>
      <c r="E5" s="10">
        <f>Assumptions!B6</f>
        <v>0.03534093085617829</v>
      </c>
      <c r="F5" s="10">
        <f>Assumptions!B6</f>
        <v>0.03534093085617829</v>
      </c>
    </row>
    <row r="6" spans="1:6" x14ac:dyDescent="0.25">
      <c r="A6" t="s">
        <v>43</v>
      </c>
      <c r="B6" s="18">
        <f>Assumptions!B29*(1+B5)</f>
        <v>91429922262.97824</v>
      </c>
      <c r="C6" s="18">
        <f>B6*(1+C5)</f>
        <v>94661140823.85991</v>
      </c>
      <c r="D6" s="18">
        <f>C6*(1+D5)</f>
        <v>98006553656.4829</v>
      </c>
      <c r="E6" s="18">
        <f>D6*(1+E5)</f>
        <v>101470196492.70898</v>
      </c>
      <c r="F6" s="18">
        <f>E6*(1+F5)</f>
        <v>105056247690.92064</v>
      </c>
    </row>
    <row r="7" spans="1:6" x14ac:dyDescent="0.25">
      <c r="A7" t="s">
        <v>5</v>
      </c>
      <c r="B7" s="10">
        <f>Assumptions!B7</f>
        <v>0.17863853221188147</v>
      </c>
      <c r="C7" s="10">
        <f>Assumptions!B7</f>
        <v>0.17863853221188147</v>
      </c>
      <c r="D7" s="10">
        <f>Assumptions!B7</f>
        <v>0.17863853221188147</v>
      </c>
      <c r="E7" s="10">
        <f>Assumptions!B7</f>
        <v>0.17863853221188147</v>
      </c>
      <c r="F7" s="10">
        <f>Assumptions!B7</f>
        <v>0.17863853221188147</v>
      </c>
    </row>
    <row r="8" spans="1:6" x14ac:dyDescent="0.25">
      <c r="A8" t="s">
        <v>44</v>
      </c>
      <c r="B8" s="18">
        <f>B6*B7</f>
        <v>16332907113.304857</v>
      </c>
      <c r="C8" s="18">
        <f>C6*C7</f>
        <v>16910127254.276546</v>
      </c>
      <c r="D8" s="18">
        <f>D6*D7</f>
        <v>17507746892.33911</v>
      </c>
      <c r="E8" s="18">
        <f>E6*E7</f>
        <v>18126486964.708736</v>
      </c>
      <c r="F8" s="18">
        <f>F6*F7</f>
        <v>18767093887.193924</v>
      </c>
    </row>
    <row r="9" spans="1:6" x14ac:dyDescent="0.25">
      <c r="A9" t="s">
        <v>45</v>
      </c>
      <c r="B9" s="18">
        <f>B8*(1-Assumptions!B8)</f>
        <v>12902996619.510838</v>
      </c>
      <c r="C9" s="18">
        <f>C8*(1-Assumptions!B8)</f>
        <v>13359000530.878471</v>
      </c>
      <c r="D9" s="18">
        <f>D8*(1-Assumptions!B8)</f>
        <v>13831120044.947899</v>
      </c>
      <c r="E9" s="18">
        <f>E8*(1-Assumptions!B8)</f>
        <v>14319924702.119902</v>
      </c>
      <c r="F9" s="18">
        <f>F8*(1-Assumptions!B8)</f>
        <v>14826004170.8832</v>
      </c>
    </row>
    <row r="10" spans="1:6" x14ac:dyDescent="0.25">
      <c r="A10" t="s">
        <v>46</v>
      </c>
      <c r="B10" s="18">
        <f>B6*Assumptions!B9</f>
        <v>14774995681.71708</v>
      </c>
      <c r="C10" s="18">
        <f>C6*Assumptions!B9</f>
        <v>15297157782.504976</v>
      </c>
      <c r="D10" s="18">
        <f>D6*Assumptions!B9</f>
        <v>15837773577.992533</v>
      </c>
      <c r="E10" s="18">
        <f>E6*Assumptions!B9</f>
        <v>16397495238.928175</v>
      </c>
      <c r="F10" s="18">
        <f>F6*Assumptions!B9</f>
        <v>16976997984.381649</v>
      </c>
    </row>
    <row r="11" spans="1:6" x14ac:dyDescent="0.25">
      <c r="A11" t="s">
        <v>47</v>
      </c>
      <c r="B11" s="18">
        <f>-B6*Assumptions!B10</f>
        <v>-14813846013.799913</v>
      </c>
      <c r="C11" s="18">
        <f>-C6*Assumptions!B10</f>
        <v>-15337381121.487688</v>
      </c>
      <c r="D11" s="18">
        <f>-D6*Assumptions!B10</f>
        <v>-15879418447.21704</v>
      </c>
      <c r="E11" s="18">
        <f>-E6*Assumptions!B10</f>
        <v>-16440611876.596458</v>
      </c>
      <c r="F11" s="18">
        <f>-F6*Assumptions!B10</f>
        <v>-17021638404.160519</v>
      </c>
    </row>
    <row r="12" spans="1:6" x14ac:dyDescent="0.25">
      <c r="A12" t="s">
        <v>48</v>
      </c>
      <c r="B12" s="18">
        <f>-(B6-Assumptions!B29)*Assumptions!B11</f>
        <v>-1081413793.250819</v>
      </c>
      <c r="C12" s="18">
        <f>-(C6-B6)*Assumptions!B11</f>
        <v>-1119631963.3450158</v>
      </c>
      <c r="D12" s="18">
        <f>-(D6-C6)*Assumptions!B11</f>
        <v>-1159200799.1459587</v>
      </c>
      <c r="E12" s="18">
        <f>-(E6-D6)*Assumptions!B11</f>
        <v>-1200168034.4370036</v>
      </c>
      <c r="F12" s="18">
        <f>-(F6-E6)*Assumptions!B11</f>
        <v>-1242583089.9578378</v>
      </c>
    </row>
    <row r="13" spans="1:6" x14ac:dyDescent="0.25">
      <c r="A13" s="19" t="s">
        <v>49</v>
      </c>
      <c r="B13" s="20">
        <f>B9+B10+B11+B12</f>
        <v>11782732494.177185</v>
      </c>
      <c r="C13" s="20">
        <f>C9+C10+C11+C12</f>
        <v>12199145228.550741</v>
      </c>
      <c r="D13" s="20">
        <f>D9+D10+D11+D12</f>
        <v>12630274376.577433</v>
      </c>
      <c r="E13" s="20">
        <f>E9+E10+E11+E12</f>
        <v>13076640030.014614</v>
      </c>
      <c r="F13" s="20">
        <f>F9+F10+F11+F12</f>
        <v>13538780661.14649</v>
      </c>
    </row>
    <row r="14" spans="1:6" x14ac:dyDescent="0.25">
      <c r="A14" t="s">
        <v>50</v>
      </c>
      <c r="B14" s="21">
        <f>1/(1+Assumptions!$B$26)^(1-0.5*Assumptions!$B$32)</f>
        <v>0.9695367528255489</v>
      </c>
      <c r="C14" s="21">
        <f>1/(1+Assumptions!$B$26)^(2-0.5*Assumptions!$B$32)</f>
        <v>0.9113660165812836</v>
      </c>
      <c r="D14" s="21">
        <f>1/(1+Assumptions!$B$26)^(3-0.5*Assumptions!$B$32)</f>
        <v>0.8566854363783838</v>
      </c>
      <c r="E14" s="21">
        <f>1/(1+Assumptions!$B$26)^(4-0.5*Assumptions!$B$32)</f>
        <v>0.8052856081422315</v>
      </c>
      <c r="F14" s="21">
        <f>1/(1+Assumptions!$B$26)^(5-0.5*Assumptions!$B$32)</f>
        <v>0.7569696917254216</v>
      </c>
    </row>
    <row r="15" spans="1:6" x14ac:dyDescent="0.25">
      <c r="A15" s="19" t="s">
        <v>51</v>
      </c>
      <c r="B15" s="20">
        <f>B13*B14</f>
        <v>11423792201.816628</v>
      </c>
      <c r="C15" s="20">
        <f>C13*C14</f>
        <v>11117886392.640862</v>
      </c>
      <c r="D15" s="20">
        <f>D13*D14</f>
        <v>10820172115.876957</v>
      </c>
      <c r="E15" s="20">
        <f>E13*E14</f>
        <v>10530430019.027367</v>
      </c>
      <c r="F15" s="20">
        <f>F13*F14</f>
        <v>10248446623.406158</v>
      </c>
    </row>
    <row r="17" spans="1:2" x14ac:dyDescent="0.25">
      <c r="A17" s="22" t="s">
        <v>52</v>
      </c>
      <c r="B17" s="23">
        <f>SUM(B15:F15)</f>
        <v>54140727352.767975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13538780661.14649</v>
      </c>
    </row>
    <row r="5" spans="1:2" x14ac:dyDescent="0.25">
      <c r="A5" t="s">
        <v>56</v>
      </c>
      <c r="B5" s="18">
        <f>IF(Assumptions!$B$33=0,B4,B4-Forecast!F11-Forecast!F10-Forecast!F12)</f>
        <v>14826004170.8832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0.2758162834324321</v>
      </c>
    </row>
    <row r="7" spans="1:2" x14ac:dyDescent="0.25">
      <c r="A7" t="s">
        <v>58</v>
      </c>
      <c r="B7" s="18">
        <f>-MAX(Forecast!F9,0)*B6</f>
        <v>-4089253368.566741</v>
      </c>
    </row>
    <row r="8" spans="1:2" x14ac:dyDescent="0.25">
      <c r="A8" t="s">
        <v>59</v>
      </c>
      <c r="B8" s="18">
        <f>IF(OR(Assumptions!$B$33=0,Assumptions!B12&lt;=0),B5,MAX(B5+B7,0))</f>
        <v>10736750802.31646</v>
      </c>
    </row>
    <row r="9" spans="1:2" x14ac:dyDescent="0.25">
      <c r="A9" t="s">
        <v>60</v>
      </c>
      <c r="B9" s="18">
        <f>B8*(1+Assumptions!B12)/(Assumptions!B26-Assumptions!B12)</f>
        <v>283433321407.0356</v>
      </c>
    </row>
    <row r="10" spans="1:2" x14ac:dyDescent="0.25">
      <c r="A10" t="s">
        <v>61</v>
      </c>
      <c r="B10" s="18">
        <f>B9/(1+Assumptions!B26)^(5-0.5*Assumptions!B32)</f>
        <v>214550433930.19608</v>
      </c>
    </row>
    <row r="11" spans="1:2" x14ac:dyDescent="0.25">
      <c r="A11" t="s">
        <v>62</v>
      </c>
      <c r="B11" s="18">
        <f>Forecast!B17+B10</f>
        <v>268691161282.96405</v>
      </c>
    </row>
    <row r="12" spans="1:2" x14ac:dyDescent="0.25">
      <c r="A12" t="s">
        <v>63</v>
      </c>
      <c r="B12" s="18">
        <f>-Assumptions!B30</f>
        <v>-116671000000</v>
      </c>
    </row>
    <row r="13" spans="1:2" x14ac:dyDescent="0.25">
      <c r="A13" t="s">
        <v>64</v>
      </c>
      <c r="B13" s="18">
        <f>B11+B12</f>
        <v>152020161282.96405</v>
      </c>
    </row>
    <row r="14" spans="1:2" x14ac:dyDescent="0.25">
      <c r="A14" s="19" t="s">
        <v>65</v>
      </c>
      <c r="B14" s="24">
        <f>B13/Assumptions!B31</f>
        <v>134.40310602274687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35744091871.57558</v>
      </c>
    </row>
    <row r="18" spans="1:2" x14ac:dyDescent="0.25">
      <c r="A18" t="s">
        <v>60</v>
      </c>
      <c r="B18" s="18">
        <f>B17*Assumptions!B13</f>
        <v>331158613435.0326</v>
      </c>
    </row>
    <row r="19" spans="1:2" x14ac:dyDescent="0.25">
      <c r="A19" t="s">
        <v>61</v>
      </c>
      <c r="B19" s="18">
        <f>B18/(1+Assumptions!B26)^(5-0.5*Assumptions!B32)</f>
        <v>250677033524.13467</v>
      </c>
    </row>
    <row r="20" spans="1:2" x14ac:dyDescent="0.25">
      <c r="A20" t="s">
        <v>62</v>
      </c>
      <c r="B20" s="18">
        <f>Forecast!B17+B19</f>
        <v>304817760876.90265</v>
      </c>
    </row>
    <row r="21" spans="1:2" x14ac:dyDescent="0.25">
      <c r="A21" t="s">
        <v>63</v>
      </c>
      <c r="B21" s="18">
        <f>-Assumptions!B30</f>
        <v>-116671000000</v>
      </c>
    </row>
    <row r="22" spans="1:2" x14ac:dyDescent="0.25">
      <c r="A22" t="s">
        <v>64</v>
      </c>
      <c r="B22" s="18">
        <f>B20+B21</f>
        <v>188146760876.90265</v>
      </c>
    </row>
    <row r="23" spans="1:2" x14ac:dyDescent="0.25">
      <c r="A23" s="19" t="s">
        <v>65</v>
      </c>
      <c r="B23" s="25">
        <f>B22/Assumptions!B31</f>
        <v>166.3431273625978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168.18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134.40310602274687</v>
      </c>
    </row>
    <row r="29" spans="1:2" x14ac:dyDescent="0.25">
      <c r="A29" s="19" t="s">
        <v>73</v>
      </c>
      <c r="B29" s="12">
        <f>B28/B26-1</f>
        <v>-0.2008377570296892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0.043828</v>
      </c>
      <c r="B5" s="31">
        <v>264.5387228365369</v>
      </c>
      <c r="C5" s="31">
        <v>307.5417488055451</v>
      </c>
      <c r="D5" s="31">
        <v>373.0680810144766</v>
      </c>
      <c r="E5" s="31">
        <v>485.5500013261354</v>
      </c>
      <c r="F5" s="31">
        <v>724.771585583398</v>
      </c>
    </row>
    <row r="6" spans="1:6" x14ac:dyDescent="0.25">
      <c r="A6" s="30">
        <v>0.053828</v>
      </c>
      <c r="B6" s="31">
        <v>171.68955842992565</v>
      </c>
      <c r="C6" s="31">
        <v>189.12839696712106</v>
      </c>
      <c r="D6" s="31">
        <v>212.4183977153784</v>
      </c>
      <c r="E6" s="31">
        <v>245.24293456952444</v>
      </c>
      <c r="F6" s="31">
        <v>295.19803693195615</v>
      </c>
    </row>
    <row r="7" spans="1:6" x14ac:dyDescent="0.25">
      <c r="A7" s="30">
        <v>0.063828</v>
      </c>
      <c r="B7" s="31">
        <v>116.83942434163092</v>
      </c>
      <c r="C7" s="31">
        <v>124.68204109205453</v>
      </c>
      <c r="D7" s="32">
        <v>134.40352676510582</v>
      </c>
      <c r="E7" s="31">
        <v>146.8370087652847</v>
      </c>
      <c r="F7" s="31">
        <v>163.39361325142676</v>
      </c>
    </row>
    <row r="8" spans="1:6" x14ac:dyDescent="0.25">
      <c r="A8" s="30">
        <v>0.073828</v>
      </c>
      <c r="B8" s="31">
        <v>80.61181760826138</v>
      </c>
      <c r="C8" s="31">
        <v>84.12843879613693</v>
      </c>
      <c r="D8" s="31">
        <v>88.25779097458641</v>
      </c>
      <c r="E8" s="31">
        <v>93.20957946574669</v>
      </c>
      <c r="F8" s="31">
        <v>99.301527167801</v>
      </c>
    </row>
    <row r="9" spans="1:6" x14ac:dyDescent="0.25">
      <c r="A9" s="30">
        <v>0.083828</v>
      </c>
      <c r="B9" s="31">
        <v>54.890969748036596</v>
      </c>
      <c r="C9" s="31">
        <v>56.24021421719495</v>
      </c>
      <c r="D9" s="31">
        <v>57.733251707404335</v>
      </c>
      <c r="E9" s="31">
        <v>59.41015235531784</v>
      </c>
      <c r="F9" s="31">
        <v>61.327399067578426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88309000000</v>
      </c>
      <c r="C5" s="18">
        <v>81400000000</v>
      </c>
      <c r="D5" s="18">
        <v>78558000000</v>
      </c>
      <c r="E5" s="18">
        <v>79571000000</v>
      </c>
      <c r="F5" s="8" t="s">
        <v>84</v>
      </c>
    </row>
    <row r="6" spans="1:6" x14ac:dyDescent="0.25">
      <c r="A6" t="s">
        <v>44</v>
      </c>
      <c r="B6" s="18">
        <v>18557000000</v>
      </c>
      <c r="C6" s="18">
        <v>18010000000</v>
      </c>
      <c r="D6" s="18">
        <v>14241000000</v>
      </c>
      <c r="E6" s="18">
        <v>8107000000</v>
      </c>
      <c r="F6" s="8" t="s">
        <v>85</v>
      </c>
    </row>
    <row r="7" spans="1:6" x14ac:dyDescent="0.25">
      <c r="A7" t="s">
        <v>86</v>
      </c>
      <c r="B7" s="18">
        <v>13508000000</v>
      </c>
      <c r="C7" s="18">
        <v>12919000000</v>
      </c>
      <c r="D7" s="18">
        <v>12818000000</v>
      </c>
      <c r="E7" s="18">
        <v>13651000000</v>
      </c>
      <c r="F7" s="8" t="s">
        <v>87</v>
      </c>
    </row>
    <row r="8" spans="1:6" x14ac:dyDescent="0.25">
      <c r="A8" t="s">
        <v>88</v>
      </c>
      <c r="B8" s="18">
        <v>12523000000</v>
      </c>
      <c r="C8" s="18">
        <v>12311000000</v>
      </c>
      <c r="D8" s="18">
        <v>10811000000</v>
      </c>
      <c r="E8" s="18">
        <v>17301000000</v>
      </c>
      <c r="F8" s="8" t="s">
        <v>89</v>
      </c>
    </row>
    <row r="9" spans="1:6" x14ac:dyDescent="0.25">
      <c r="A9" t="s">
        <v>90</v>
      </c>
      <c r="B9" s="18">
        <v>2394000000</v>
      </c>
      <c r="C9" s="18">
        <v>7009000000</v>
      </c>
      <c r="D9" s="18">
        <v>7058000000</v>
      </c>
      <c r="E9" s="18">
        <v>3055000000</v>
      </c>
      <c r="F9" s="8" t="s">
        <v>91</v>
      </c>
    </row>
    <row r="10" spans="1:6" x14ac:dyDescent="0.25">
      <c r="A10" t="s">
        <v>92</v>
      </c>
      <c r="B10" s="18">
        <v>122269000000</v>
      </c>
      <c r="C10" s="18">
        <v>113944000000</v>
      </c>
      <c r="D10" s="18">
        <v>113086000000</v>
      </c>
      <c r="E10" s="18">
        <v>111792000000</v>
      </c>
      <c r="F10" s="8" t="s">
        <v>93</v>
      </c>
    </row>
    <row r="11" spans="1:6" x14ac:dyDescent="0.25">
      <c r="A11" t="s">
        <v>94</v>
      </c>
      <c r="B11" s="18">
        <v>5598000000</v>
      </c>
      <c r="C11" s="18">
        <v>5409000000</v>
      </c>
      <c r="D11" s="18">
        <v>5135000000</v>
      </c>
      <c r="E11" s="18">
        <v>4507000000</v>
      </c>
      <c r="F11" s="8" t="s">
        <v>95</v>
      </c>
    </row>
    <row r="12" spans="1:6" x14ac:dyDescent="0.25">
      <c r="A12" t="s">
        <v>32</v>
      </c>
      <c r="B12" s="34">
        <v>1131076251</v>
      </c>
      <c r="C12" s="34">
        <v>1173213898</v>
      </c>
      <c r="D12" s="34">
        <v>1200286264</v>
      </c>
      <c r="E12" s="34">
        <v>1255376769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2026-09-19T01:04:01Z</dcterms:modified>
</cp:coreProperties>
</file>