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<sst xmlns="http://schemas.openxmlformats.org/spreadsheetml/2006/main" count="114" uniqueCount="102">
  <si>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Technology One Limited (TNE.AX)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</si>
  <si>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</si>
  <si>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</si>
  <si>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</si>
  <si>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</si>
  <si>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</si>
  <si>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</si>
  <si>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</si>
  <si>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</si>
  <si>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</si>
  <si>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</si>
  <si>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</si>
  <si>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</si>
  <si>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</si>
  <si>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</si>
  <si>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</si>
  <si>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</si>
  <si>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</si>
  <si>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</si>
  <si>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</si>
  <si>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</si>
  <si>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</si>
  <si>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</si>
  <si>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</si>
  <si>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</si>
  <si>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</si>
  <si>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</si>
  <si>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</si>
  <si>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</si>
  <si>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</si>
  <si>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2025-09-30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</si>
  <si>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</si>
  <si>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</si>
  <si>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</si>
  <si>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</si>
  <si>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</si>
  <si>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</si>
  <si>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</si>
  <si>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</si>
  <si>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</si>
  <si>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</si>
  <si>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</si>
  <si>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</si>
  <si>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</si>
  <si>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</si>
  <si>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</si>
  <si>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</si>
  <si>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</si>
  <si>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</si>
  <si>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</si>
  <si>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</si>
  <si>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</si>
  <si>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</si>
  <si>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</si>
  <si>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</si>
  <si>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</si>
  <si>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</si>
  <si>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</si>
  <si>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</si>
  <si>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</si>
  <si>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</si>
  <si>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</si>
  <si>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</si>
  <si>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</si>
  <si>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</si>
  <si>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</si>
  <si>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</si>
  <si>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</si>
  <si>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</si>
  <si>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</si>
  <si>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</si>
  <si>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</si>
  <si>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</si>
  <si>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</si>
  <si>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</si>
  <si>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</si>
  <si>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</si>
  <si>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</si>
  <si>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</si>
  <si>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</si>
  <si>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</si>
  <si>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</si>
  <si>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</si>
  <si>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</si>
  <si>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</si>
  <si>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</si>
  <si>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</si>
  <si>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</si>
  <si>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</si>
  <si>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</si>
  <si>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</si>
  <si>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</si>
  <si>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</si>
  <si>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</si>
  <si>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</si>
  <si>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</si>
  <si>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</si>
  <si>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</si>
  <si>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</si>
  <si>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Capital expenditure runs at 18.8% of revenue against depreciation of 12.5%. A perpetuity has to be a steady state, so the terminal year uses maintenance capex at depreciation and then charges the reinvestment terminal growth requires (g/ROIC of NOPAT). The bridge is shown under Terminal Value.</t>
  </si>
  <si>
    <t>Current EV/EBITDA of 36.3x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</si>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</sst>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0.1757470745401839</v>
      </c>
    </row>
    <row r="7" spans="1:2" x14ac:dyDescent="0.25">
      <c r="A7" t="s">
        <v>5</v>
      </c>
      <c r="B7" s="6">
        <v>0.2914396850285785</v>
      </c>
    </row>
    <row r="8" spans="1:2" x14ac:dyDescent="0.25">
      <c r="A8" t="s">
        <v>6</v>
      </c>
      <c r="B8" s="6">
        <v>0.21852490103715377</v>
      </c>
    </row>
    <row r="9" spans="1:2" x14ac:dyDescent="0.25">
      <c r="A9" t="s">
        <v>7</v>
      </c>
      <c r="B9" s="6">
        <v>0.1247168456258308</v>
      </c>
    </row>
    <row r="10" spans="1:2" x14ac:dyDescent="0.25">
      <c r="A10" t="s">
        <v>8</v>
      </c>
      <c r="B10" s="6">
        <v>0.18831510262165146</v>
      </c>
    </row>
    <row r="11" spans="1:2" x14ac:dyDescent="0.25">
      <c r="A11" t="s">
        <v>9</v>
      </c>
      <c r="B11" s="6">
        <v>0.05634240481486327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0.30428180006336863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0.7246299999999999</v>
      </c>
      <c r="C19" s="8" t="s">
        <v>19</v>
      </c>
    </row>
    <row r="20" spans="1:2" x14ac:dyDescent="0.25">
      <c r="A20" t="s">
        <v>20</v>
      </c>
      <c r="B20" s="10">
        <f>B17+B19*B18</f>
        <v>0.09695779999999998</v>
      </c>
    </row>
    <row r="21" spans="1:3" x14ac:dyDescent="0.25">
      <c r="A21" t="s">
        <v>21</v>
      </c>
      <c r="B21" s="6">
        <v>0.062115207699384334</v>
      </c>
      <c r="C21" s="8" t="s">
        <v>22</v>
      </c>
    </row>
    <row r="22" spans="1:2" x14ac:dyDescent="0.25">
      <c r="A22" t="s">
        <v>23</v>
      </c>
      <c r="B22" s="11">
        <v>9493687296</v>
      </c>
    </row>
    <row r="23" spans="1:2" x14ac:dyDescent="0.25">
      <c r="A23" t="s">
        <v>24</v>
      </c>
      <c r="B23" s="11">
        <v>53381000</v>
      </c>
    </row>
    <row r="24" spans="1:2" x14ac:dyDescent="0.25">
      <c r="A24" t="s">
        <v>25</v>
      </c>
      <c r="B24" s="10">
        <f>B22/(B22+B23)</f>
        <v>0.9944086500331871</v>
      </c>
    </row>
    <row r="25" spans="1:2" x14ac:dyDescent="0.25">
      <c r="A25" t="s">
        <v>26</v>
      </c>
      <c r="B25" s="10">
        <f>1-B24</f>
        <v>0.005591349966812875</v>
      </c>
    </row>
    <row r="26" spans="1:2" x14ac:dyDescent="0.25">
      <c r="A26" t="s">
        <v>27</v>
      </c>
      <c r="B26" s="12">
        <f>B24*B20+B25*B21*(1-B8)</f>
        <v>0.09668708745597511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598502000</v>
      </c>
      <c r="C29" s="8" t="s">
        <v>30</v>
      </c>
    </row>
    <row r="30" spans="1:2" x14ac:dyDescent="0.25">
      <c r="A30" t="s">
        <v>31</v>
      </c>
      <c r="B30" s="11">
        <v>-266260000</v>
      </c>
    </row>
    <row r="31" spans="1:2" x14ac:dyDescent="0.25">
      <c r="A31" t="s">
        <v>32</v>
      </c>
      <c r="B31" s="13">
        <v>329846633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0.1757470745401839</v>
      </c>
      <c r="C5" s="10">
        <f>Assumptions!B6</f>
        <v>0.1757470745401839</v>
      </c>
      <c r="D5" s="10">
        <f>Assumptions!B6</f>
        <v>0.1757470745401839</v>
      </c>
      <c r="E5" s="10">
        <f>Assumptions!B6</f>
        <v>0.1757470745401839</v>
      </c>
      <c r="F5" s="10">
        <f>Assumptions!B6</f>
        <v>0.1757470745401839</v>
      </c>
    </row>
    <row r="6" spans="1:6" x14ac:dyDescent="0.25">
      <c r="A6" t="s">
        <v>43</v>
      </c>
      <c r="B6" s="18">
        <f>Assumptions!B29*(1+B5)</f>
        <v>703686975.6064491</v>
      </c>
      <c r="C6" s="18">
        <f>B6*(1+C5)</f>
        <v>827357902.9613123</v>
      </c>
      <c r="D6" s="18">
        <f>C6*(1+D5)</f>
        <v>972763634.0044643</v>
      </c>
      <c r="E6" s="18">
        <f>D6*(1+E5)</f>
        <v>1143723996.899827</v>
      </c>
      <c r="F6" s="18">
        <f>E6*(1+F5)</f>
        <v>1344730143.436378</v>
      </c>
    </row>
    <row r="7" spans="1:6" x14ac:dyDescent="0.25">
      <c r="A7" t="s">
        <v>5</v>
      </c>
      <c r="B7" s="10">
        <f>Assumptions!B7</f>
        <v>0.2914396850285785</v>
      </c>
      <c r="C7" s="10">
        <f>Assumptions!B7</f>
        <v>0.2914396850285785</v>
      </c>
      <c r="D7" s="10">
        <f>Assumptions!B7</f>
        <v>0.2914396850285785</v>
      </c>
      <c r="E7" s="10">
        <f>Assumptions!B7</f>
        <v>0.2914396850285785</v>
      </c>
      <c r="F7" s="10">
        <f>Assumptions!B7</f>
        <v>0.2914396850285785</v>
      </c>
    </row>
    <row r="8" spans="1:6" x14ac:dyDescent="0.25">
      <c r="A8" t="s">
        <v>44</v>
      </c>
      <c r="B8" s="18">
        <f>B6*B7</f>
        <v>205082310.52945653</v>
      </c>
      <c r="C8" s="18">
        <f>C6*C7</f>
        <v>241124926.64495006</v>
      </c>
      <c r="D8" s="18">
        <f>D6*D7</f>
        <v>283501927.1015165</v>
      </c>
      <c r="E8" s="18">
        <f>E6*E7</f>
        <v>333326561.4161124</v>
      </c>
      <c r="F8" s="18">
        <f>F6*F7</f>
        <v>391907729.45153314</v>
      </c>
    </row>
    <row r="9" spans="1:6" x14ac:dyDescent="0.25">
      <c r="A9" t="s">
        <v>45</v>
      </c>
      <c r="B9" s="18">
        <f>B8*(1-Assumptions!B8)</f>
        <v>160266718.9165362</v>
      </c>
      <c r="C9" s="18">
        <f>C8*(1-Assumptions!B8)</f>
        <v>188433125.9122714</v>
      </c>
      <c r="D9" s="18">
        <f>D8*(1-Assumptions!B8)</f>
        <v>221549696.5378152</v>
      </c>
      <c r="E9" s="18">
        <f>E8*(1-Assumptions!B8)</f>
        <v>260486407.5696017</v>
      </c>
      <c r="F9" s="18">
        <f>F8*(1-Assumptions!B8)</f>
        <v>306266131.65744126</v>
      </c>
    </row>
    <row r="10" spans="1:6" x14ac:dyDescent="0.25">
      <c r="A10" t="s">
        <v>46</v>
      </c>
      <c r="B10" s="18">
        <f>B6*Assumptions!B9</f>
        <v>87761619.90561728</v>
      </c>
      <c r="C10" s="18">
        <f>C6*Assumptions!B9</f>
        <v>103185467.86093709</v>
      </c>
      <c r="D10" s="18">
        <f>D6*Assumptions!B9</f>
        <v>121320011.97255693</v>
      </c>
      <c r="E10" s="18">
        <f>E6*Assumptions!B9</f>
        <v>142641649.1599139</v>
      </c>
      <c r="F10" s="18">
        <f>F6*Assumptions!B9</f>
        <v>167710501.70735607</v>
      </c>
    </row>
    <row r="11" spans="1:6" x14ac:dyDescent="0.25">
      <c r="A11" t="s">
        <v>47</v>
      </c>
      <c r="B11" s="18">
        <f>-B6*Assumptions!B10</f>
        <v>-132514885.02484801</v>
      </c>
      <c r="C11" s="18">
        <f>-C6*Assumptions!B10</f>
        <v>-155803988.40099388</v>
      </c>
      <c r="D11" s="18">
        <f>-D6*Assumptions!B10</f>
        <v>-183186083.5641613</v>
      </c>
      <c r="E11" s="18">
        <f>-E6*Assumptions!B10</f>
        <v>-215380501.8470363</v>
      </c>
      <c r="F11" s="18">
        <f>-F6*Assumptions!B10</f>
        <v>-253232994.95964962</v>
      </c>
    </row>
    <row r="12" spans="1:6" x14ac:dyDescent="0.25">
      <c r="A12" t="s">
        <v>48</v>
      </c>
      <c r="B12" s="18">
        <f>-(B6-Assumptions!B29)*Assumptions!B11</f>
        <v>-5926374.476060075</v>
      </c>
      <c r="C12" s="18">
        <f>-(C6-B6)*Assumptions!B11</f>
        <v>-6967917.4528572485</v>
      </c>
      <c r="D12" s="18">
        <f>-(D6-C6)*Assumptions!B11</f>
        <v>-8192508.560834399</v>
      </c>
      <c r="E12" s="18">
        <f>-(E6-D6)*Assumptions!B11</f>
        <v>-9632317.973546458</v>
      </c>
      <c r="F12" s="18">
        <f>-(F6-E6)*Assumptions!B11</f>
        <v>-11325169.678438084</v>
      </c>
    </row>
    <row r="13" spans="1:6" x14ac:dyDescent="0.25">
      <c r="A13" s="19" t="s">
        <v>49</v>
      </c>
      <c r="B13" s="20">
        <f>B9+B10+B11+B12</f>
        <v>109587079.32124542</v>
      </c>
      <c r="C13" s="20">
        <f>C9+C10+C11+C12</f>
        <v>128846687.91935736</v>
      </c>
      <c r="D13" s="20">
        <f>D9+D10+D11+D12</f>
        <v>151491116.38537645</v>
      </c>
      <c r="E13" s="20">
        <f>E9+E10+E11+E12</f>
        <v>178115236.90893286</v>
      </c>
      <c r="F13" s="20">
        <f>F9+F10+F11+F12</f>
        <v>209418468.72670963</v>
      </c>
    </row>
    <row r="14" spans="1:6" x14ac:dyDescent="0.25">
      <c r="A14" t="s">
        <v>50</v>
      </c>
      <c r="B14" s="21">
        <f>1/(1+Assumptions!$B$26)^(1-0.5*Assumptions!$B$32)</f>
        <v>0.9549016306533887</v>
      </c>
      <c r="C14" s="21">
        <f>1/(1+Assumptions!$B$26)^(2-0.5*Assumptions!$B$32)</f>
        <v>0.8707147568122725</v>
      </c>
      <c r="D14" s="21">
        <f>1/(1+Assumptions!$B$26)^(3-0.5*Assumptions!$B$32)</f>
        <v>0.7939500398715381</v>
      </c>
      <c r="E14" s="21">
        <f>1/(1+Assumptions!$B$26)^(4-0.5*Assumptions!$B$32)</f>
        <v>0.7239531211343911</v>
      </c>
      <c r="F14" s="21">
        <f>1/(1+Assumptions!$B$26)^(5-0.5*Assumptions!$B$32)</f>
        <v>0.6601273320485349</v>
      </c>
    </row>
    <row r="15" spans="1:6" x14ac:dyDescent="0.25">
      <c r="A15" s="19" t="s">
        <v>51</v>
      </c>
      <c r="B15" s="20">
        <f>B13*B14</f>
        <v>104644880.7423995</v>
      </c>
      <c r="C15" s="20">
        <f>C13*C14</f>
        <v>112188712.53777002</v>
      </c>
      <c r="D15" s="20">
        <f>D13*D14</f>
        <v>120276377.89435345</v>
      </c>
      <c r="E15" s="20">
        <f>E13*E14</f>
        <v>128947081.68181345</v>
      </c>
      <c r="F15" s="20">
        <f>F13*F14</f>
        <v>138242855.04225236</v>
      </c>
    </row>
    <row r="17" spans="1:2" x14ac:dyDescent="0.25">
      <c r="A17" s="22" t="s">
        <v>52</v>
      </c>
      <c r="B17" s="23">
        <f>SUM(B15:F15)</f>
        <v>604299907.8985889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209418468.72670963</v>
      </c>
    </row>
    <row r="5" spans="1:2" x14ac:dyDescent="0.25">
      <c r="A5" t="s">
        <v>56</v>
      </c>
      <c r="B5" s="18">
        <f>IF(Assumptions!$B$33=0,B4,B4-Forecast!F11-Forecast!F10-Forecast!F12)</f>
        <v>306266131.65744126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0.08216068129869611</v>
      </c>
    </row>
    <row r="7" spans="1:2" x14ac:dyDescent="0.25">
      <c r="A7" t="s">
        <v>58</v>
      </c>
      <c r="B7" s="18">
        <f>-MAX(Forecast!F9,0)*B6</f>
        <v>-25163034.035691533</v>
      </c>
    </row>
    <row r="8" spans="1:2" x14ac:dyDescent="0.25">
      <c r="A8" t="s">
        <v>59</v>
      </c>
      <c r="B8" s="18">
        <f>IF(OR(Assumptions!$B$33=0,Assumptions!B12&lt;=0),B5,MAX(B5+B7,0))</f>
        <v>281103097.6217497</v>
      </c>
    </row>
    <row r="9" spans="1:2" x14ac:dyDescent="0.25">
      <c r="A9" t="s">
        <v>60</v>
      </c>
      <c r="B9" s="18">
        <f>B8*(1+Assumptions!B12)/(Assumptions!B26-Assumptions!B12)</f>
        <v>4019282764.6853685</v>
      </c>
    </row>
    <row r="10" spans="1:2" x14ac:dyDescent="0.25">
      <c r="A10" t="s">
        <v>61</v>
      </c>
      <c r="B10" s="18">
        <f>B9/(1+Assumptions!B26)^(5-0.5*Assumptions!B32)</f>
        <v>2653238408.200412</v>
      </c>
    </row>
    <row r="11" spans="1:2" x14ac:dyDescent="0.25">
      <c r="A11" t="s">
        <v>62</v>
      </c>
      <c r="B11" s="18">
        <f>Forecast!B17+B10</f>
        <v>3257538316.099001</v>
      </c>
    </row>
    <row r="12" spans="1:2" x14ac:dyDescent="0.25">
      <c r="A12" t="s">
        <v>63</v>
      </c>
      <c r="B12" s="18">
        <f>-Assumptions!B30</f>
        <v>266260000</v>
      </c>
    </row>
    <row r="13" spans="1:2" x14ac:dyDescent="0.25">
      <c r="A13" t="s">
        <v>64</v>
      </c>
      <c r="B13" s="18">
        <f>B11+B12</f>
        <v>3523798316.099001</v>
      </c>
    </row>
    <row r="14" spans="1:2" x14ac:dyDescent="0.25">
      <c r="A14" s="19" t="s">
        <v>65</v>
      </c>
      <c r="B14" s="24">
        <f>B13/Assumptions!B31</f>
        <v>10.683141689365073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559618231.1588892</v>
      </c>
    </row>
    <row r="18" spans="1:2" x14ac:dyDescent="0.25">
      <c r="A18" t="s">
        <v>60</v>
      </c>
      <c r="B18" s="18">
        <f>B17*Assumptions!B13</f>
        <v>11192364623.177784</v>
      </c>
    </row>
    <row r="19" spans="1:2" x14ac:dyDescent="0.25">
      <c r="A19" t="s">
        <v>61</v>
      </c>
      <c r="B19" s="18">
        <f>B18/(1+Assumptions!B26)^(5-0.5*Assumptions!B32)</f>
        <v>7388385798.012756</v>
      </c>
    </row>
    <row r="20" spans="1:2" x14ac:dyDescent="0.25">
      <c r="A20" t="s">
        <v>62</v>
      </c>
      <c r="B20" s="18">
        <f>Forecast!B17+B19</f>
        <v>7992685705.9113455</v>
      </c>
    </row>
    <row r="21" spans="1:2" x14ac:dyDescent="0.25">
      <c r="A21" t="s">
        <v>63</v>
      </c>
      <c r="B21" s="18">
        <f>-Assumptions!B30</f>
        <v>266260000</v>
      </c>
    </row>
    <row r="22" spans="1:2" x14ac:dyDescent="0.25">
      <c r="A22" t="s">
        <v>64</v>
      </c>
      <c r="B22" s="18">
        <f>B20+B21</f>
        <v>8258945705.9113455</v>
      </c>
    </row>
    <row r="23" spans="1:2" x14ac:dyDescent="0.25">
      <c r="A23" s="19" t="s">
        <v>65</v>
      </c>
      <c r="B23" s="25">
        <f>B22/Assumptions!B31</f>
        <v>25.03874491849473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10.683141689365073</v>
      </c>
    </row>
    <row r="29" spans="1:2" x14ac:dyDescent="0.25">
      <c r="A29" s="19" t="s">
        <v>73</v>
      </c>
      <c r="B29" s="12">
        <f>B28/B26-1</f>
        <v>-0.6316158038149975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0.076687</v>
      </c>
      <c r="B5" s="31">
        <v>13.147133851791498</v>
      </c>
      <c r="C5" s="31">
        <v>13.924824028732607</v>
      </c>
      <c r="D5" s="31">
        <v>14.850858787472427</v>
      </c>
      <c r="E5" s="31">
        <v>15.972899548256027</v>
      </c>
      <c r="F5" s="31">
        <v>17.361474054280468</v>
      </c>
    </row>
    <row r="6" spans="1:6" x14ac:dyDescent="0.25">
      <c r="A6" s="30">
        <v>0.086687</v>
      </c>
      <c r="B6" s="31">
        <v>11.28207452810978</v>
      </c>
      <c r="C6" s="31">
        <v>11.811707497938249</v>
      </c>
      <c r="D6" s="31">
        <v>12.425497143238397</v>
      </c>
      <c r="E6" s="31">
        <v>13.14571224048588</v>
      </c>
      <c r="F6" s="31">
        <v>14.003238346575259</v>
      </c>
    </row>
    <row r="7" spans="1:6" x14ac:dyDescent="0.25">
      <c r="A7" s="30">
        <v>0.096687</v>
      </c>
      <c r="B7" s="31">
        <v>9.879861684616008</v>
      </c>
      <c r="C7" s="31">
        <v>10.255977520104484</v>
      </c>
      <c r="D7" s="32">
        <v>10.683154774753227</v>
      </c>
      <c r="E7" s="31">
        <v>11.172878764851838</v>
      </c>
      <c r="F7" s="31">
        <v>11.740358546307517</v>
      </c>
    </row>
    <row r="8" spans="1:6" x14ac:dyDescent="0.25">
      <c r="A8" s="30">
        <v>0.106687</v>
      </c>
      <c r="B8" s="31">
        <v>8.78875138543809</v>
      </c>
      <c r="C8" s="31">
        <v>9.06443619368169</v>
      </c>
      <c r="D8" s="31">
        <v>9.372686291509858</v>
      </c>
      <c r="E8" s="31">
        <v>9.719871459247413</v>
      </c>
      <c r="F8" s="31">
        <v>10.114138586130057</v>
      </c>
    </row>
    <row r="9" spans="1:6" x14ac:dyDescent="0.25">
      <c r="A9" s="30">
        <v>0.116687</v>
      </c>
      <c r="B9" s="31">
        <v>7.916707416797654</v>
      </c>
      <c r="C9" s="31">
        <v>8.123829846393573</v>
      </c>
      <c r="D9" s="31">
        <v>8.352529737349798</v>
      </c>
      <c r="E9" s="31">
        <v>8.606540774306527</v>
      </c>
      <c r="F9" s="31">
        <v>8.890510786049337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598502000</v>
      </c>
      <c r="C5" s="18">
        <v>506536000</v>
      </c>
      <c r="D5" s="18">
        <v>429378000</v>
      </c>
      <c r="E5" s="18">
        <v>368234000</v>
      </c>
      <c r="F5" s="8" t="s">
        <v>84</v>
      </c>
    </row>
    <row r="6" spans="1:6" x14ac:dyDescent="0.25">
      <c r="A6" t="s">
        <v>44</v>
      </c>
      <c r="B6" s="18">
        <v>173531000</v>
      </c>
      <c r="C6" s="18">
        <v>146628000</v>
      </c>
      <c r="D6" s="18">
        <v>119992000</v>
      </c>
      <c r="E6" s="18">
        <v>113007000</v>
      </c>
      <c r="F6" s="8" t="s">
        <v>85</v>
      </c>
    </row>
    <row r="7" spans="1:6" x14ac:dyDescent="0.25">
      <c r="A7" t="s">
        <v>86</v>
      </c>
      <c r="B7" s="18">
        <v>80797000</v>
      </c>
      <c r="C7" s="18">
        <v>68773000</v>
      </c>
      <c r="D7" s="18">
        <v>53502000</v>
      </c>
      <c r="E7" s="18">
        <v>38110000</v>
      </c>
      <c r="F7" s="8" t="s">
        <v>87</v>
      </c>
    </row>
    <row r="8" spans="1:6" x14ac:dyDescent="0.25">
      <c r="A8" t="s">
        <v>88</v>
      </c>
      <c r="B8" s="18">
        <v>106389000</v>
      </c>
      <c r="C8" s="18">
        <v>92639000</v>
      </c>
      <c r="D8" s="18">
        <v>90126000</v>
      </c>
      <c r="E8" s="18">
        <v>67282000</v>
      </c>
      <c r="F8" s="8" t="s">
        <v>89</v>
      </c>
    </row>
    <row r="9" spans="1:6" x14ac:dyDescent="0.25">
      <c r="A9" t="s">
        <v>90</v>
      </c>
      <c r="B9" s="18">
        <v>-15465000</v>
      </c>
      <c r="C9" s="18">
        <v>21604000</v>
      </c>
      <c r="D9" s="18">
        <v>3445000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53381000</v>
      </c>
      <c r="C10" s="18">
        <v>59667000</v>
      </c>
      <c r="D10" s="18">
        <v>33156000</v>
      </c>
      <c r="E10" s="18">
        <v>35304000</v>
      </c>
      <c r="F10" s="8" t="s">
        <v>93</v>
      </c>
    </row>
    <row r="11" spans="1:6" x14ac:dyDescent="0.25">
      <c r="A11" t="s">
        <v>94</v>
      </c>
      <c r="B11" s="18">
        <v>319641000</v>
      </c>
      <c r="C11" s="18">
        <v>278689000</v>
      </c>
      <c r="D11" s="18">
        <v>223265000</v>
      </c>
      <c r="E11" s="18">
        <v>176465000</v>
      </c>
      <c r="F11" s="8" t="s">
        <v>95</v>
      </c>
    </row>
    <row r="12" spans="1:6" x14ac:dyDescent="0.25">
      <c r="A12" t="s">
        <v>32</v>
      </c>
      <c r="B12" s="34">
        <v>329846633</v>
      </c>
      <c r="C12" s="34">
        <v>327543714</v>
      </c>
      <c r="D12" s="34">
        <v>326176284</v>
      </c>
      <c r="E12" s="34">
        <v>324481373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2026-09-19T00:07:04Z</dcterms:modified>
</cp:coreProperties>
</file>