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<sst xmlns="http://schemas.openxmlformats.org/spreadsheetml/2006/main" count="113" uniqueCount="101">
  <si>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Tourmaline Oil Corp. (TOU.TO)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</si>
  <si>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</si>
  <si>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</si>
  <si>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</si>
  <si>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</si>
  <si>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</si>
  <si>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</si>
  <si>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</si>
  <si>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</si>
  <si>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</si>
  <si>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</si>
  <si>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</si>
  <si>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</si>
  <si>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</si>
  <si>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</si>
  <si>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</si>
  <si>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</si>
  <si>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</si>
  <si>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</si>
  <si>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</si>
  <si>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</si>
  <si>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</si>
  <si>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</si>
  <si>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</si>
  <si>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</si>
  <si>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</si>
  <si>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</si>
  <si>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</si>
  <si>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</si>
  <si>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</si>
  <si>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</si>
  <si>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</si>
  <si>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</si>
  <si>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</si>
  <si>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</si>
  <si>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</si>
  <si>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</si>
  <si>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</si>
  <si>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</si>
  <si>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</si>
  <si>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</si>
  <si>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</si>
  <si>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</si>
  <si>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</si>
  <si>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</si>
  <si>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</si>
  <si>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</si>
  <si>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</si>
  <si>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</si>
  <si>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</si>
  <si>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</si>
  <si>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</si>
  <si>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</si>
  <si>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</si>
  <si>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</si>
  <si>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</si>
  <si>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</si>
  <si>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</si>
  <si>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</si>
  <si>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</si>
  <si>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</si>
  <si>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</si>
  <si>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</si>
  <si>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</si>
  <si>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</si>
  <si>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</si>
  <si>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</si>
  <si>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</si>
  <si>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</si>
  <si>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</si>
  <si>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</si>
  <si>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</si>
  <si>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</si>
  <si>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</si>
  <si>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</si>
  <si>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</si>
  <si>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</si>
  <si>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</si>
  <si>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</si>
  <si>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</si>
  <si>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</si>
  <si>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</si>
  <si>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</si>
  <si>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</si>
  <si>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</si>
  <si>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</si>
  <si>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</si>
  <si>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</si>
  <si>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</si>
  <si>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</si>
  <si>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</si>
  <si>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</si>
  <si>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</si>
  <si>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</si>
  <si>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</si>
  <si>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derived</t>
  </si>
  <si>
    <t>dilutedAverageShares</t>
  </si>
  <si>
    <t>Model notes</t>
  </si>
  <si>
    <t>Adjusted: Capital expenditure runs at 35.9% of revenue against depreciation of 27.4%.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</si>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</sst>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-0.10109245922707522</v>
      </c>
    </row>
    <row r="7" spans="1:2" x14ac:dyDescent="0.25">
      <c r="A7" t="s">
        <v>5</v>
      </c>
      <c r="B7" s="6">
        <v>0.2716404369321098</v>
      </c>
    </row>
    <row r="8" spans="1:2" x14ac:dyDescent="0.25">
      <c r="A8" t="s">
        <v>6</v>
      </c>
      <c r="B8" s="6">
        <v>0.23687452361601108</v>
      </c>
    </row>
    <row r="9" spans="1:2" x14ac:dyDescent="0.25">
      <c r="A9" t="s">
        <v>7</v>
      </c>
      <c r="B9" s="6">
        <v>0.27399944134704257</v>
      </c>
    </row>
    <row r="10" spans="1:2" x14ac:dyDescent="0.25">
      <c r="A10" t="s">
        <v>8</v>
      </c>
      <c r="B10" s="6">
        <v>0.35881410014270143</v>
      </c>
    </row>
    <row r="11" spans="1:2" x14ac:dyDescent="0.25">
      <c r="A11" t="s">
        <v>9</v>
      </c>
      <c r="B11" s="6">
        <v>0.01592302061094656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8.405111385967533</v>
      </c>
    </row>
    <row r="14" spans="1:3" x14ac:dyDescent="0.25">
      <c r="A14" t="s">
        <v>12</v>
      </c>
      <c r="B14" s="6">
        <v>0.08251240227672287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0.49415</v>
      </c>
      <c r="C19" s="8" t="s">
        <v>19</v>
      </c>
    </row>
    <row r="20" spans="1:2" x14ac:dyDescent="0.25">
      <c r="A20" t="s">
        <v>20</v>
      </c>
      <c r="B20" s="10">
        <f>B17+B19*B18</f>
        <v>0.06017825</v>
      </c>
    </row>
    <row r="21" spans="1:3" x14ac:dyDescent="0.25">
      <c r="A21" t="s">
        <v>21</v>
      </c>
      <c r="B21" s="6">
        <v>0.044074474527101774</v>
      </c>
      <c r="C21" s="8" t="s">
        <v>22</v>
      </c>
    </row>
    <row r="22" spans="1:2" x14ac:dyDescent="0.25">
      <c r="A22" t="s">
        <v>23</v>
      </c>
      <c r="B22" s="11">
        <v>23646412800</v>
      </c>
    </row>
    <row r="23" spans="1:2" x14ac:dyDescent="0.25">
      <c r="A23" t="s">
        <v>24</v>
      </c>
      <c r="B23" s="11">
        <v>1891291000</v>
      </c>
    </row>
    <row r="24" spans="1:2" x14ac:dyDescent="0.25">
      <c r="A24" t="s">
        <v>25</v>
      </c>
      <c r="B24" s="10">
        <f>B22/(B22+B23)</f>
        <v>0.9259412273393194</v>
      </c>
    </row>
    <row r="25" spans="1:2" x14ac:dyDescent="0.25">
      <c r="A25" t="s">
        <v>26</v>
      </c>
      <c r="B25" s="10">
        <f>1-B24</f>
        <v>0.07405877266068062</v>
      </c>
    </row>
    <row r="26" spans="1:2" x14ac:dyDescent="0.25">
      <c r="A26" t="s">
        <v>27</v>
      </c>
      <c r="B26" s="12">
        <f>B24*B20+B25*B21*(1-B8)</f>
        <v>0.05821244166799926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6302997000</v>
      </c>
      <c r="C29" s="8" t="s">
        <v>30</v>
      </c>
    </row>
    <row r="30" spans="1:2" x14ac:dyDescent="0.25">
      <c r="A30" t="s">
        <v>31</v>
      </c>
      <c r="B30" s="11">
        <v>1891291000</v>
      </c>
    </row>
    <row r="31" spans="1:2" x14ac:dyDescent="0.25">
      <c r="A31" t="s">
        <v>32</v>
      </c>
      <c r="B31" s="13">
        <v>383938857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-0.10109245922707522</v>
      </c>
      <c r="C5" s="10">
        <f>Assumptions!B6</f>
        <v>-0.10109245922707522</v>
      </c>
      <c r="D5" s="10">
        <f>Assumptions!B6</f>
        <v>-0.10109245922707522</v>
      </c>
      <c r="E5" s="10">
        <f>Assumptions!B6</f>
        <v>-0.10109245922707522</v>
      </c>
      <c r="F5" s="10">
        <f>Assumptions!B6</f>
        <v>-0.10109245922707522</v>
      </c>
    </row>
    <row r="6" spans="1:6" x14ac:dyDescent="0.25">
      <c r="A6" t="s">
        <v>43</v>
      </c>
      <c r="B6" s="18">
        <f>Assumptions!B29*(1+B5)</f>
        <v>5665811532.769122</v>
      </c>
      <c r="C6" s="18">
        <f>B6*(1+C5)</f>
        <v>5093040711.404367</v>
      </c>
      <c r="D6" s="18">
        <f>C6*(1+D5)</f>
        <v>4578172700.944887</v>
      </c>
      <c r="E6" s="18">
        <f>D6*(1+E5)</f>
        <v>4115353963.8401074</v>
      </c>
      <c r="F6" s="18">
        <f>E6*(1+F5)</f>
        <v>3699322711.045619</v>
      </c>
    </row>
    <row r="7" spans="1:6" x14ac:dyDescent="0.25">
      <c r="A7" t="s">
        <v>5</v>
      </c>
      <c r="B7" s="10">
        <f>Assumptions!B7</f>
        <v>0.2716404369321098</v>
      </c>
      <c r="C7" s="10">
        <f>Assumptions!B7</f>
        <v>0.2716404369321098</v>
      </c>
      <c r="D7" s="10">
        <f>Assumptions!B7</f>
        <v>0.2716404369321098</v>
      </c>
      <c r="E7" s="10">
        <f>Assumptions!B7</f>
        <v>0.2716404369321098</v>
      </c>
      <c r="F7" s="10">
        <f>Assumptions!B7</f>
        <v>0.2716404369321098</v>
      </c>
    </row>
    <row r="8" spans="1:6" x14ac:dyDescent="0.25">
      <c r="A8" t="s">
        <v>44</v>
      </c>
      <c r="B8" s="18">
        <f>B6*B7</f>
        <v>1539063520.3363912</v>
      </c>
      <c r="C8" s="18">
        <f>C6*C7</f>
        <v>1383475804.1589057</v>
      </c>
      <c r="D8" s="18">
        <f>D6*D7</f>
        <v>1243616832.8353264</v>
      </c>
      <c r="E8" s="18">
        <f>E6*E7</f>
        <v>1117896548.867817</v>
      </c>
      <c r="F8" s="18">
        <f>F6*F7</f>
        <v>1004885637.581309</v>
      </c>
    </row>
    <row r="9" spans="1:6" x14ac:dyDescent="0.25">
      <c r="A9" t="s">
        <v>45</v>
      </c>
      <c r="B9" s="18">
        <f>B8*(1-Assumptions!B8)</f>
        <v>1174498582.1419277</v>
      </c>
      <c r="C9" s="18">
        <f>C8*(1-Assumptions!B8)</f>
        <v>1055765632.1144872</v>
      </c>
      <c r="D9" s="18">
        <f>D8*(1-Assumptions!B8)</f>
        <v>949035687.9966061</v>
      </c>
      <c r="E9" s="18">
        <f>E8*(1-Assumptions!B8)</f>
        <v>853095336.40277</v>
      </c>
      <c r="F9" s="18">
        <f>F8*(1-Assumptions!B8)</f>
        <v>766853830.8906649</v>
      </c>
    </row>
    <row r="10" spans="1:6" x14ac:dyDescent="0.25">
      <c r="A10" t="s">
        <v>46</v>
      </c>
      <c r="B10" s="18">
        <f>B6*Assumptions!B9</f>
        <v>1552429194.7563705</v>
      </c>
      <c r="C10" s="18">
        <f>C6*Assumptions!B9</f>
        <v>1395490309.682541</v>
      </c>
      <c r="D10" s="18">
        <f>D6*Assumptions!B9</f>
        <v>1254416762.4491801</v>
      </c>
      <c r="E10" s="18">
        <f>E6*Assumptions!B9</f>
        <v>1127604687.0375266</v>
      </c>
      <c r="F10" s="18">
        <f>F6*Assumptions!B9</f>
        <v>1013612356.1889266</v>
      </c>
    </row>
    <row r="11" spans="1:6" x14ac:dyDescent="0.25">
      <c r="A11" t="s">
        <v>47</v>
      </c>
      <c r="B11" s="18">
        <f>-B6*Assumptions!B10</f>
        <v>-2032973066.7086926</v>
      </c>
      <c r="C11" s="18">
        <f>-C6*Assumptions!B10</f>
        <v>-1827454819.8527021</v>
      </c>
      <c r="D11" s="18">
        <f>-D6*Assumptions!B10</f>
        <v>-1642712917.9874206</v>
      </c>
      <c r="E11" s="18">
        <f>-E6*Assumptions!B10</f>
        <v>-1476647029.3039875</v>
      </c>
      <c r="F11" s="18">
        <f>-F6*Assumptions!B10</f>
        <v>-1327369149.7012925</v>
      </c>
    </row>
    <row r="12" spans="1:6" x14ac:dyDescent="0.25">
      <c r="A12" t="s">
        <v>48</v>
      </c>
      <c r="B12" s="18">
        <f>-(B6-Assumptions!B29)*Assumptions!B11</f>
        <v>10145917.327712882</v>
      </c>
      <c r="C12" s="18">
        <f>-(C6-B6)*Assumptions!B11</f>
        <v>9120241.59393978</v>
      </c>
      <c r="D12" s="18">
        <f>-(D6-C6)*Assumptions!B11</f>
        <v>8198253.942463354</v>
      </c>
      <c r="E12" s="18">
        <f>-(E6-D6)*Assumptions!B11</f>
        <v>7369472.290051665</v>
      </c>
      <c r="F12" s="18">
        <f>-(F6-E6)*Assumptions!B11</f>
        <v>6624474.213044558</v>
      </c>
    </row>
    <row r="13" spans="1:6" x14ac:dyDescent="0.25">
      <c r="A13" s="19" t="s">
        <v>49</v>
      </c>
      <c r="B13" s="20">
        <f>B9+B10+B11+B12</f>
        <v>704100627.5173186</v>
      </c>
      <c r="C13" s="20">
        <f>C9+C10+C11+C12</f>
        <v>632921363.5382657</v>
      </c>
      <c r="D13" s="20">
        <f>D9+D10+D11+D12</f>
        <v>568937786.4008293</v>
      </c>
      <c r="E13" s="20">
        <f>E9+E10+E11+E12</f>
        <v>511422466.4263608</v>
      </c>
      <c r="F13" s="20">
        <f>F9+F10+F11+F12</f>
        <v>459721511.5913436</v>
      </c>
    </row>
    <row r="14" spans="1:6" x14ac:dyDescent="0.25">
      <c r="A14" t="s">
        <v>50</v>
      </c>
      <c r="B14" s="21">
        <f>1/(1+Assumptions!$B$26)^(1-0.5*Assumptions!$B$32)</f>
        <v>0.9721058761209039</v>
      </c>
      <c r="C14" s="21">
        <f>1/(1+Assumptions!$B$26)^(2-0.5*Assumptions!$B$32)</f>
        <v>0.9186301708838629</v>
      </c>
      <c r="D14" s="21">
        <f>1/(1+Assumptions!$B$26)^(3-0.5*Assumptions!$B$32)</f>
        <v>0.8680961730480877</v>
      </c>
      <c r="E14" s="21">
        <f>1/(1+Assumptions!$B$26)^(4-0.5*Assumptions!$B$32)</f>
        <v>0.8203420588022552</v>
      </c>
      <c r="F14" s="21">
        <f>1/(1+Assumptions!$B$26)^(5-0.5*Assumptions!$B$32)</f>
        <v>0.7752149062897022</v>
      </c>
    </row>
    <row r="15" spans="1:6" x14ac:dyDescent="0.25">
      <c r="A15" s="19" t="s">
        <v>51</v>
      </c>
      <c r="B15" s="20">
        <f>B13*B14</f>
        <v>684460357.3900013</v>
      </c>
      <c r="C15" s="20">
        <f>C13*C14</f>
        <v>581420660.3432045</v>
      </c>
      <c r="D15" s="20">
        <f>D13*D14</f>
        <v>493892715.0770103</v>
      </c>
      <c r="E15" s="20">
        <f>E13*E14</f>
        <v>419541359.025928</v>
      </c>
      <c r="F15" s="20">
        <f>F13*F14</f>
        <v>356382968.5276437</v>
      </c>
    </row>
    <row r="17" spans="1:2" x14ac:dyDescent="0.25">
      <c r="A17" s="22" t="s">
        <v>52</v>
      </c>
      <c r="B17" s="23">
        <f>SUM(B15:F15)</f>
        <v>2535698060.3637877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459721511.5913436</v>
      </c>
    </row>
    <row r="5" spans="1:2" x14ac:dyDescent="0.25">
      <c r="A5" t="s">
        <v>56</v>
      </c>
      <c r="B5" s="18">
        <f>IF(Assumptions!$B$33=0,B4,B4-Forecast!F11-Forecast!F10-Forecast!F12)</f>
        <v>766853830.8906649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0.3029847551421081</v>
      </c>
    </row>
    <row r="7" spans="1:2" x14ac:dyDescent="0.25">
      <c r="A7" t="s">
        <v>58</v>
      </c>
      <c r="B7" s="18">
        <f>-MAX(Forecast!F9,0)*B6</f>
        <v>-232345020.1821957</v>
      </c>
    </row>
    <row r="8" spans="1:2" x14ac:dyDescent="0.25">
      <c r="A8" t="s">
        <v>59</v>
      </c>
      <c r="B8" s="18">
        <f>IF(OR(Assumptions!$B$33=0,Assumptions!B12&lt;=0),B5,MAX(B5+B7,0))</f>
        <v>534508810.7084693</v>
      </c>
    </row>
    <row r="9" spans="1:2" x14ac:dyDescent="0.25">
      <c r="A9" t="s">
        <v>60</v>
      </c>
      <c r="B9" s="18">
        <f>B8*(1+Assumptions!B12)/(Assumptions!B26-Assumptions!B12)</f>
        <v>16495972697.607002</v>
      </c>
    </row>
    <row r="10" spans="1:2" x14ac:dyDescent="0.25">
      <c r="A10" t="s">
        <v>61</v>
      </c>
      <c r="B10" s="18">
        <f>B9/(1+Assumptions!B26)^(5-0.5*Assumptions!B32)</f>
        <v>12787923928.9329</v>
      </c>
    </row>
    <row r="11" spans="1:2" x14ac:dyDescent="0.25">
      <c r="A11" t="s">
        <v>62</v>
      </c>
      <c r="B11" s="18">
        <f>Forecast!B17+B10</f>
        <v>15323621989.296688</v>
      </c>
    </row>
    <row r="12" spans="1:2" x14ac:dyDescent="0.25">
      <c r="A12" t="s">
        <v>63</v>
      </c>
      <c r="B12" s="18">
        <f>-Assumptions!B30</f>
        <v>-1891291000</v>
      </c>
    </row>
    <row r="13" spans="1:2" x14ac:dyDescent="0.25">
      <c r="A13" t="s">
        <v>64</v>
      </c>
      <c r="B13" s="18">
        <f>B11+B12</f>
        <v>13432330989.296688</v>
      </c>
    </row>
    <row r="14" spans="1:2" x14ac:dyDescent="0.25">
      <c r="A14" s="19" t="s">
        <v>65</v>
      </c>
      <c r="B14" s="24">
        <f>B13/Assumptions!B31</f>
        <v>34.98559925466645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2018497993.7702355</v>
      </c>
    </row>
    <row r="18" spans="1:2" x14ac:dyDescent="0.25">
      <c r="A18" t="s">
        <v>60</v>
      </c>
      <c r="B18" s="18">
        <f>B17*Assumptions!B13</f>
        <v>16965700469.99083</v>
      </c>
    </row>
    <row r="19" spans="1:2" x14ac:dyDescent="0.25">
      <c r="A19" t="s">
        <v>61</v>
      </c>
      <c r="B19" s="18">
        <f>B18/(1+Assumptions!B26)^(5-0.5*Assumptions!B32)</f>
        <v>13152063899.983099</v>
      </c>
    </row>
    <row r="20" spans="1:2" x14ac:dyDescent="0.25">
      <c r="A20" t="s">
        <v>62</v>
      </c>
      <c r="B20" s="18">
        <f>Forecast!B17+B19</f>
        <v>15687761960.346886</v>
      </c>
    </row>
    <row r="21" spans="1:2" x14ac:dyDescent="0.25">
      <c r="A21" t="s">
        <v>63</v>
      </c>
      <c r="B21" s="18">
        <f>-Assumptions!B30</f>
        <v>-1891291000</v>
      </c>
    </row>
    <row r="22" spans="1:2" x14ac:dyDescent="0.25">
      <c r="A22" t="s">
        <v>64</v>
      </c>
      <c r="B22" s="18">
        <f>B20+B21</f>
        <v>13796470960.346886</v>
      </c>
    </row>
    <row r="23" spans="1:2" x14ac:dyDescent="0.25">
      <c r="A23" s="19" t="s">
        <v>65</v>
      </c>
      <c r="B23" s="25">
        <f>B22/Assumptions!B31</f>
        <v>35.934031444873746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34.98559925466645</v>
      </c>
    </row>
    <row r="29" spans="1:2" x14ac:dyDescent="0.25">
      <c r="A29" s="19" t="s">
        <v>73</v>
      </c>
      <c r="B29" s="12">
        <f>B28/B26-1</f>
        <v>-0.4250517788879795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0.038212</v>
      </c>
      <c r="B5" s="31">
        <v>62.325448413269726</v>
      </c>
      <c r="C5" s="31">
        <v>73.55108819094681</v>
      </c>
      <c r="D5" s="31">
        <v>93.19589339790261</v>
      </c>
      <c r="E5" s="31">
        <v>136.638271418353</v>
      </c>
      <c r="F5" s="31">
        <v>315.0125909330015</v>
      </c>
    </row>
    <row r="6" spans="1:6" x14ac:dyDescent="0.25">
      <c r="A6" s="30">
        <v>0.048212</v>
      </c>
      <c r="B6" s="31">
        <v>42.224727816775044</v>
      </c>
      <c r="C6" s="31">
        <v>46.08015561324006</v>
      </c>
      <c r="D6" s="31">
        <v>51.55436068350021</v>
      </c>
      <c r="E6" s="31">
        <v>59.98062103694092</v>
      </c>
      <c r="F6" s="31">
        <v>74.7104980759016</v>
      </c>
    </row>
    <row r="7" spans="1:6" x14ac:dyDescent="0.25">
      <c r="A7" s="30">
        <v>0.058212</v>
      </c>
      <c r="B7" s="31">
        <v>31.43612338058569</v>
      </c>
      <c r="C7" s="31">
        <v>32.991138070541936</v>
      </c>
      <c r="D7" s="32">
        <v>34.98611074808759</v>
      </c>
      <c r="E7" s="31">
        <v>37.65496207867853</v>
      </c>
      <c r="F7" s="31">
        <v>41.433164223079864</v>
      </c>
    </row>
    <row r="8" spans="1:6" x14ac:dyDescent="0.25">
      <c r="A8" s="30">
        <v>0.068212</v>
      </c>
      <c r="B8" s="31">
        <v>24.70904723573298</v>
      </c>
      <c r="C8" s="31">
        <v>25.334515056708465</v>
      </c>
      <c r="D8" s="31">
        <v>26.083913711068742</v>
      </c>
      <c r="E8" s="31">
        <v>27.005891856323817</v>
      </c>
      <c r="F8" s="31">
        <v>28.178393981315732</v>
      </c>
    </row>
    <row r="9" spans="1:6" x14ac:dyDescent="0.25">
      <c r="A9" s="30">
        <v>0.078212</v>
      </c>
      <c r="B9" s="31">
        <v>20.115475109952758</v>
      </c>
      <c r="C9" s="31">
        <v>20.3103958708041</v>
      </c>
      <c r="D9" s="31">
        <v>20.5257398500654</v>
      </c>
      <c r="E9" s="31">
        <v>20.767861239144388</v>
      </c>
      <c r="F9" s="31">
        <v>21.04605516780281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6302997000</v>
      </c>
      <c r="C5" s="18">
        <v>5650043000</v>
      </c>
      <c r="D5" s="18">
        <v>6242240000</v>
      </c>
      <c r="E5" s="18">
        <v>8677648000</v>
      </c>
      <c r="F5" s="8" t="s">
        <v>84</v>
      </c>
    </row>
    <row r="6" spans="1:6" x14ac:dyDescent="0.25">
      <c r="A6" t="s">
        <v>44</v>
      </c>
      <c r="B6" s="18">
        <v>38103000</v>
      </c>
      <c r="C6" s="18">
        <v>1172638000</v>
      </c>
      <c r="D6" s="18">
        <v>2214742000</v>
      </c>
      <c r="E6" s="18">
        <v>4496517000</v>
      </c>
      <c r="F6" s="8" t="s">
        <v>85</v>
      </c>
    </row>
    <row r="7" spans="1:6" x14ac:dyDescent="0.25">
      <c r="A7" t="s">
        <v>86</v>
      </c>
      <c r="B7" s="18">
        <v>3000251000</v>
      </c>
      <c r="C7" s="18">
        <v>1551963000</v>
      </c>
      <c r="D7" s="18">
        <v>1303444000</v>
      </c>
      <c r="E7" s="18">
        <v>1184516000</v>
      </c>
      <c r="F7" s="8" t="s">
        <v>87</v>
      </c>
    </row>
    <row r="8" spans="1:6" x14ac:dyDescent="0.25">
      <c r="A8" t="s">
        <v>88</v>
      </c>
      <c r="B8" s="18">
        <v>3007902000</v>
      </c>
      <c r="C8" s="18">
        <v>2259153000</v>
      </c>
      <c r="D8" s="18">
        <v>2081038000</v>
      </c>
      <c r="E8" s="18">
        <v>1950836000</v>
      </c>
      <c r="F8" s="8" t="s">
        <v>89</v>
      </c>
    </row>
    <row r="9" spans="1:6" x14ac:dyDescent="0.25">
      <c r="A9" t="s">
        <v>90</v>
      </c>
      <c r="B9" s="18">
        <v>10397000</v>
      </c>
      <c r="C9" s="18">
        <v>27116000</v>
      </c>
      <c r="D9" s="18">
        <v>-307659000</v>
      </c>
      <c r="E9" s="18">
        <v>203152000</v>
      </c>
      <c r="F9" s="8" t="s">
        <v>91</v>
      </c>
    </row>
    <row r="10" spans="1:6" x14ac:dyDescent="0.25">
      <c r="A10" t="s">
        <v>92</v>
      </c>
      <c r="B10" s="18">
        <v>1891291000</v>
      </c>
      <c r="C10" s="18">
        <v>1304164000</v>
      </c>
      <c r="D10" s="18">
        <v>1126542000</v>
      </c>
      <c r="E10" s="18">
        <v>629264000</v>
      </c>
      <c r="F10" s="8" t="s">
        <v>93</v>
      </c>
    </row>
    <row r="11" spans="1:6" x14ac:dyDescent="0.25">
      <c r="A11" t="s">
        <v>94</v>
      </c>
      <c r="B11" s="18">
        <v>0</v>
      </c>
      <c r="C11" s="18">
        <v>0</v>
      </c>
      <c r="D11" s="18">
        <v>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383938857</v>
      </c>
      <c r="C12" s="34">
        <v>360249193</v>
      </c>
      <c r="D12" s="34">
        <v>345383038</v>
      </c>
      <c r="E12" s="34">
        <v>342533099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2026-09-19T01:04:00Z</dcterms:modified>
</cp:coreProperties>
</file>