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<sst xmlns="http://schemas.openxmlformats.org/spreadsheetml/2006/main" count="114" uniqueCount="102">
  <si>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Texas Pacific Land Corporation (TPL)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</si>
  <si>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</si>
  <si>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</si>
  <si>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</si>
  <si>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</si>
  <si>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</si>
  <si>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</si>
  <si>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</si>
  <si>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</si>
  <si>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</si>
  <si>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</si>
  <si>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</si>
  <si>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</si>
  <si>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</si>
  <si>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</si>
  <si>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</si>
  <si>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</si>
  <si>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</si>
  <si>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</si>
  <si>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</si>
  <si>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</si>
  <si>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</si>
  <si>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</si>
  <si>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</si>
  <si>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</si>
  <si>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</si>
  <si>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</si>
  <si>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</si>
  <si>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</si>
  <si>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</si>
  <si>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</si>
  <si>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</si>
  <si>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</si>
  <si>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</si>
  <si>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</si>
  <si>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</si>
  <si>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</si>
  <si>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</si>
  <si>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</si>
  <si>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</si>
  <si>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</si>
  <si>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</si>
  <si>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</si>
  <si>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</si>
  <si>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</si>
  <si>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</si>
  <si>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</si>
  <si>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</si>
  <si>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</si>
  <si>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</si>
  <si>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</si>
  <si>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</si>
  <si>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</si>
  <si>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</si>
  <si>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</si>
  <si>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</si>
  <si>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</si>
  <si>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</si>
  <si>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</si>
  <si>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</si>
  <si>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</si>
  <si>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</si>
  <si>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</si>
  <si>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</si>
  <si>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</si>
  <si>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</si>
  <si>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</si>
  <si>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</si>
  <si>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</si>
  <si>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</si>
  <si>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</si>
  <si>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</si>
  <si>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</si>
  <si>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</si>
  <si>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</si>
  <si>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</si>
  <si>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</si>
  <si>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</si>
  <si>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</si>
  <si>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</si>
  <si>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</si>
  <si>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</si>
  <si>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</si>
  <si>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</si>
  <si>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</si>
  <si>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</si>
  <si>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</si>
  <si>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</si>
  <si>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</si>
  <si>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</si>
  <si>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</si>
  <si>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</si>
  <si>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</si>
  <si>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</si>
  <si>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</si>
  <si>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</si>
  <si>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</si>
  <si>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</si>
  <si>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1 analyst estimate(s).</t>
  </si>
  <si>
    <t>Adjusted: Capital expenditure runs at 33.5%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</si>
  <si>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Current EV/EBITDA of 37.0x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</si>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</sst>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0.061455817167499704</v>
      </c>
    </row>
    <row r="7" spans="1:2" x14ac:dyDescent="0.25">
      <c r="A7" t="s">
        <v>5</v>
      </c>
      <c r="B7" s="6">
        <v>0.7794482776050028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0.040098805137676885</v>
      </c>
    </row>
    <row r="10" spans="1:2" x14ac:dyDescent="0.25">
      <c r="A10" t="s">
        <v>8</v>
      </c>
      <c r="B10" s="6">
        <v>0.33519958716950876</v>
      </c>
    </row>
    <row r="11" spans="1:2" x14ac:dyDescent="0.25">
      <c r="A11" t="s">
        <v>9</v>
      </c>
      <c r="B11" s="6">
        <v>0.012609796842161987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0.37209062494927436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0.7440599999999999</v>
      </c>
      <c r="C19" s="8" t="s">
        <v>19</v>
      </c>
    </row>
    <row r="20" spans="1:2" x14ac:dyDescent="0.25">
      <c r="A20" t="s">
        <v>20</v>
      </c>
      <c r="B20" s="10">
        <f>B17+B19*B18</f>
        <v>0.09090329999999999</v>
      </c>
    </row>
    <row r="21" spans="1:3" x14ac:dyDescent="0.25">
      <c r="A21" t="s">
        <v>21</v>
      </c>
      <c r="B21" s="6">
        <v>0.08299254269906182</v>
      </c>
      <c r="C21" s="8" t="s">
        <v>22</v>
      </c>
    </row>
    <row r="22" spans="1:2" x14ac:dyDescent="0.25">
      <c r="A22" t="s">
        <v>23</v>
      </c>
      <c r="B22" s="11">
        <v>24325302272</v>
      </c>
    </row>
    <row r="23" spans="1:2" x14ac:dyDescent="0.25">
      <c r="A23" t="s">
        <v>24</v>
      </c>
      <c r="B23" s="11">
        <v>16175000</v>
      </c>
    </row>
    <row r="24" spans="1:2" x14ac:dyDescent="0.25">
      <c r="A24" t="s">
        <v>25</v>
      </c>
      <c r="B24" s="10">
        <f>B22/(B22+B23)</f>
        <v>0.9993354963702796</v>
      </c>
    </row>
    <row r="25" spans="1:2" x14ac:dyDescent="0.25">
      <c r="A25" t="s">
        <v>26</v>
      </c>
      <c r="B25" s="10">
        <f>1-B24</f>
        <v>0.0006645036297203699</v>
      </c>
    </row>
    <row r="26" spans="1:2" x14ac:dyDescent="0.25">
      <c r="A26" t="s">
        <v>27</v>
      </c>
      <c r="B26" s="12">
        <f>B24*B20+B25*B21*(1-B8)</f>
        <v>0.09088646201542841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798190000</v>
      </c>
      <c r="C29" s="8" t="s">
        <v>30</v>
      </c>
    </row>
    <row r="30" spans="1:2" x14ac:dyDescent="0.25">
      <c r="A30" t="s">
        <v>31</v>
      </c>
      <c r="B30" s="11">
        <v>-128634000</v>
      </c>
    </row>
    <row r="31" spans="1:2" x14ac:dyDescent="0.25">
      <c r="A31" t="s">
        <v>32</v>
      </c>
      <c r="B31" s="13">
        <v>69027492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0.061455817167499704</v>
      </c>
      <c r="C5" s="10">
        <f>Assumptions!B6</f>
        <v>0.061455817167499704</v>
      </c>
      <c r="D5" s="10">
        <f>Assumptions!B6</f>
        <v>0.061455817167499704</v>
      </c>
      <c r="E5" s="10">
        <f>Assumptions!B6</f>
        <v>0.061455817167499704</v>
      </c>
      <c r="F5" s="10">
        <f>Assumptions!B6</f>
        <v>0.061455817167499704</v>
      </c>
    </row>
    <row r="6" spans="1:6" x14ac:dyDescent="0.25">
      <c r="A6" t="s">
        <v>43</v>
      </c>
      <c r="B6" s="18">
        <f>Assumptions!B29*(1+B5)</f>
        <v>847243418.7049266</v>
      </c>
      <c r="C6" s="18">
        <f>B6*(1+C5)</f>
        <v>899311455.341224</v>
      </c>
      <c r="D6" s="18">
        <f>C6*(1+D5)</f>
        <v>954579375.7173123</v>
      </c>
      <c r="E6" s="18">
        <f>D6*(1+E5)</f>
        <v>1013243831.3032615</v>
      </c>
      <c r="F6" s="18">
        <f>E6*(1+F5)</f>
        <v>1075513558.9459317</v>
      </c>
    </row>
    <row r="7" spans="1:6" x14ac:dyDescent="0.25">
      <c r="A7" t="s">
        <v>5</v>
      </c>
      <c r="B7" s="10">
        <f>Assumptions!B7</f>
        <v>0.7794482776050028</v>
      </c>
      <c r="C7" s="10">
        <f>Assumptions!B7</f>
        <v>0.7794482776050028</v>
      </c>
      <c r="D7" s="10">
        <f>Assumptions!B7</f>
        <v>0.7794482776050028</v>
      </c>
      <c r="E7" s="10">
        <f>Assumptions!B7</f>
        <v>0.7794482776050028</v>
      </c>
      <c r="F7" s="10">
        <f>Assumptions!B7</f>
        <v>0.7794482776050028</v>
      </c>
    </row>
    <row r="8" spans="1:6" x14ac:dyDescent="0.25">
      <c r="A8" t="s">
        <v>44</v>
      </c>
      <c r="B8" s="18">
        <f>B6*B7</f>
        <v>660382423.4217292</v>
      </c>
      <c r="C8" s="18">
        <f>C6*C7</f>
        <v>700966764.8961654</v>
      </c>
      <c r="D8" s="18">
        <f>D6*D7</f>
        <v>744045250.2401179</v>
      </c>
      <c r="E8" s="18">
        <f>E6*E7</f>
        <v>789771159.1032212</v>
      </c>
      <c r="F8" s="18">
        <f>F6*F7</f>
        <v>838307191.061233</v>
      </c>
    </row>
    <row r="9" spans="1:6" x14ac:dyDescent="0.25">
      <c r="A9" t="s">
        <v>45</v>
      </c>
      <c r="B9" s="18">
        <f>B8*(1-Assumptions!B8)</f>
        <v>521702114.5031661</v>
      </c>
      <c r="C9" s="18">
        <f>C8*(1-Assumptions!B8)</f>
        <v>553763744.2679707</v>
      </c>
      <c r="D9" s="18">
        <f>D8*(1-Assumptions!B8)</f>
        <v>587795747.6896932</v>
      </c>
      <c r="E9" s="18">
        <f>E8*(1-Assumptions!B8)</f>
        <v>623919215.6915448</v>
      </c>
      <c r="F9" s="18">
        <f>F8*(1-Assumptions!B8)</f>
        <v>662262680.9383742</v>
      </c>
    </row>
    <row r="10" spans="1:6" x14ac:dyDescent="0.25">
      <c r="A10" t="s">
        <v>46</v>
      </c>
      <c r="B10" s="18">
        <f>B6*Assumptions!B9</f>
        <v>33973448.75082804</v>
      </c>
      <c r="C10" s="18">
        <f>C6*Assumptions!B9</f>
        <v>36061314.80580835</v>
      </c>
      <c r="D10" s="18">
        <f>D6*Assumptions!B9</f>
        <v>38277492.375333756</v>
      </c>
      <c r="E10" s="18">
        <f>E6*Assumptions!B9</f>
        <v>40629866.94838263</v>
      </c>
      <c r="F10" s="18">
        <f>F6*Assumptions!B9</f>
        <v>43126808.62310228</v>
      </c>
    </row>
    <row r="11" spans="1:6" x14ac:dyDescent="0.25">
      <c r="A11" t="s">
        <v>47</v>
      </c>
      <c r="B11" s="18">
        <f>-B6*Assumptions!B10</f>
        <v>-283995644.18197465</v>
      </c>
      <c r="C11" s="18">
        <f>-C6*Assumptions!B10</f>
        <v>-301448828.5671884</v>
      </c>
      <c r="D11" s="18">
        <f>-D6*Assumptions!B10</f>
        <v>-319974612.6609705</v>
      </c>
      <c r="E11" s="18">
        <f>-E6*Assumptions!B10</f>
        <v>-339638913.9549046</v>
      </c>
      <c r="F11" s="18">
        <f>-F6*Assumptions!B10</f>
        <v>-360511700.95388544</v>
      </c>
    </row>
    <row r="12" spans="1:6" x14ac:dyDescent="0.25">
      <c r="A12" t="s">
        <v>48</v>
      </c>
      <c r="B12" s="18">
        <f>-(B6-Assumptions!B29)*Assumptions!B11</f>
        <v>-618553.6442826333</v>
      </c>
      <c r="C12" s="18">
        <f>-(C6-B6)*Assumptions!B11</f>
        <v>-656567.3639539569</v>
      </c>
      <c r="D12" s="18">
        <f>-(D6-C6)*Assumptions!B11</f>
        <v>-696917.2478312594</v>
      </c>
      <c r="E12" s="18">
        <f>-(E6-D6)*Assumptions!B11</f>
        <v>-739746.8667948542</v>
      </c>
      <c r="F12" s="18">
        <f>-(F6-E6)*Assumptions!B11</f>
        <v>-785208.6149908291</v>
      </c>
    </row>
    <row r="13" spans="1:6" x14ac:dyDescent="0.25">
      <c r="A13" s="19" t="s">
        <v>49</v>
      </c>
      <c r="B13" s="20">
        <f>B9+B10+B11+B12</f>
        <v>271061365.4277368</v>
      </c>
      <c r="C13" s="20">
        <f>C9+C10+C11+C12</f>
        <v>287719663.14263666</v>
      </c>
      <c r="D13" s="20">
        <f>D9+D10+D11+D12</f>
        <v>305401710.1562252</v>
      </c>
      <c r="E13" s="20">
        <f>E9+E10+E11+E12</f>
        <v>324170421.81822795</v>
      </c>
      <c r="F13" s="20">
        <f>F9+F10+F11+F12</f>
        <v>344092579.9926002</v>
      </c>
    </row>
    <row r="14" spans="1:6" x14ac:dyDescent="0.25">
      <c r="A14" t="s">
        <v>50</v>
      </c>
      <c r="B14" s="21">
        <f>1/(1+Assumptions!$B$26)^(1-0.5*Assumptions!$B$32)</f>
        <v>0.9574370379390893</v>
      </c>
      <c r="C14" s="21">
        <f>1/(1+Assumptions!$B$26)^(2-0.5*Assumptions!$B$32)</f>
        <v>0.8776688237291079</v>
      </c>
      <c r="D14" s="21">
        <f>1/(1+Assumptions!$B$26)^(3-0.5*Assumptions!$B$32)</f>
        <v>0.8045464439146144</v>
      </c>
      <c r="E14" s="21">
        <f>1/(1+Assumptions!$B$26)^(4-0.5*Assumptions!$B$32)</f>
        <v>0.737516205332866</v>
      </c>
      <c r="F14" s="21">
        <f>1/(1+Assumptions!$B$26)^(5-0.5*Assumptions!$B$32)</f>
        <v>0.6760705453895671</v>
      </c>
    </row>
    <row r="15" spans="1:6" x14ac:dyDescent="0.25">
      <c r="A15" s="19" t="s">
        <v>51</v>
      </c>
      <c r="B15" s="20">
        <f>B13*B14</f>
        <v>259524190.8148574</v>
      </c>
      <c r="C15" s="20">
        <f>C13*C14</f>
        <v>252522578.31413308</v>
      </c>
      <c r="D15" s="20">
        <f>D13*D14</f>
        <v>245709859.87163275</v>
      </c>
      <c r="E15" s="20">
        <f>E13*E14</f>
        <v>239080939.380534</v>
      </c>
      <c r="F15" s="20">
        <f>F13*F14</f>
        <v>232630858.22010046</v>
      </c>
    </row>
    <row r="17" spans="1:2" x14ac:dyDescent="0.25">
      <c r="A17" s="22" t="s">
        <v>52</v>
      </c>
      <c r="B17" s="23">
        <f>SUM(B15:F15)</f>
        <v>1229468426.6012576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344092579.9926002</v>
      </c>
    </row>
    <row r="5" spans="1:2" x14ac:dyDescent="0.25">
      <c r="A5" t="s">
        <v>56</v>
      </c>
      <c r="B5" s="18">
        <f>IF(Assumptions!$B$33=0,B4,B4-Forecast!F11-Forecast!F10-Forecast!F12)</f>
        <v>662262680.9383742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0.06718793305638418</v>
      </c>
    </row>
    <row r="7" spans="1:2" x14ac:dyDescent="0.25">
      <c r="A7" t="s">
        <v>58</v>
      </c>
      <c r="B7" s="18">
        <f>-MAX(Forecast!F9,0)*B6</f>
        <v>-44496060.672629</v>
      </c>
    </row>
    <row r="8" spans="1:2" x14ac:dyDescent="0.25">
      <c r="A8" t="s">
        <v>59</v>
      </c>
      <c r="B8" s="18">
        <f>IF(OR(Assumptions!$B$33=0,Assumptions!B12&lt;=0),B5,MAX(B5+B7,0))</f>
        <v>617766620.2657452</v>
      </c>
    </row>
    <row r="9" spans="1:2" x14ac:dyDescent="0.25">
      <c r="A9" t="s">
        <v>60</v>
      </c>
      <c r="B9" s="18">
        <f>B8*(1+Assumptions!B12)/(Assumptions!B26-Assumptions!B12)</f>
        <v>9610635727.019487</v>
      </c>
    </row>
    <row r="10" spans="1:2" x14ac:dyDescent="0.25">
      <c r="A10" t="s">
        <v>61</v>
      </c>
      <c r="B10" s="18">
        <f>B9/(1+Assumptions!B26)^(5-0.5*Assumptions!B32)</f>
        <v>6497467737.506524</v>
      </c>
    </row>
    <row r="11" spans="1:2" x14ac:dyDescent="0.25">
      <c r="A11" t="s">
        <v>62</v>
      </c>
      <c r="B11" s="18">
        <f>Forecast!B17+B10</f>
        <v>7726936164.107781</v>
      </c>
    </row>
    <row r="12" spans="1:2" x14ac:dyDescent="0.25">
      <c r="A12" t="s">
        <v>63</v>
      </c>
      <c r="B12" s="18">
        <f>-Assumptions!B30</f>
        <v>128634000</v>
      </c>
    </row>
    <row r="13" spans="1:2" x14ac:dyDescent="0.25">
      <c r="A13" t="s">
        <v>64</v>
      </c>
      <c r="B13" s="18">
        <f>B11+B12</f>
        <v>7855570164.107781</v>
      </c>
    </row>
    <row r="14" spans="1:2" x14ac:dyDescent="0.25">
      <c r="A14" s="19" t="s">
        <v>65</v>
      </c>
      <c r="B14" s="24">
        <f>B13/Assumptions!B31</f>
        <v>113.80349968542652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881433999.6843354</v>
      </c>
    </row>
    <row r="18" spans="1:2" x14ac:dyDescent="0.25">
      <c r="A18" t="s">
        <v>60</v>
      </c>
      <c r="B18" s="18">
        <f>B17*Assumptions!B13</f>
        <v>17628679993.686707</v>
      </c>
    </row>
    <row r="19" spans="1:2" x14ac:dyDescent="0.25">
      <c r="A19" t="s">
        <v>61</v>
      </c>
      <c r="B19" s="18">
        <f>B18/(1+Assumptions!B26)^(5-0.5*Assumptions!B32)</f>
        <v>11918231297.829922</v>
      </c>
    </row>
    <row r="20" spans="1:2" x14ac:dyDescent="0.25">
      <c r="A20" t="s">
        <v>62</v>
      </c>
      <c r="B20" s="18">
        <f>Forecast!B17+B19</f>
        <v>13147699724.43118</v>
      </c>
    </row>
    <row r="21" spans="1:2" x14ac:dyDescent="0.25">
      <c r="A21" t="s">
        <v>63</v>
      </c>
      <c r="B21" s="18">
        <f>-Assumptions!B30</f>
        <v>128634000</v>
      </c>
    </row>
    <row r="22" spans="1:2" x14ac:dyDescent="0.25">
      <c r="A22" t="s">
        <v>64</v>
      </c>
      <c r="B22" s="18">
        <f>B20+B21</f>
        <v>13276333724.43118</v>
      </c>
    </row>
    <row r="23" spans="1:2" x14ac:dyDescent="0.25">
      <c r="A23" s="19" t="s">
        <v>65</v>
      </c>
      <c r="B23" s="25">
        <f>B22/Assumptions!B31</f>
        <v>192.3340011314793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352.67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113.80349968542652</v>
      </c>
    </row>
    <row r="29" spans="1:2" x14ac:dyDescent="0.25">
      <c r="A29" s="19" t="s">
        <v>73</v>
      </c>
      <c r="B29" s="12">
        <f>B28/B26-1</f>
        <v>-0.6773088164986347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0.070886</v>
      </c>
      <c r="B5" s="31">
        <v>143.37860188799232</v>
      </c>
      <c r="C5" s="31">
        <v>154.21788592571463</v>
      </c>
      <c r="D5" s="31">
        <v>167.39874574192427</v>
      </c>
      <c r="E5" s="31">
        <v>183.7802440152232</v>
      </c>
      <c r="F5" s="31">
        <v>204.70021658288317</v>
      </c>
    </row>
    <row r="6" spans="1:6" x14ac:dyDescent="0.25">
      <c r="A6" s="30">
        <v>0.080886</v>
      </c>
      <c r="B6" s="31">
        <v>120.03627242026901</v>
      </c>
      <c r="C6" s="31">
        <v>127.2554469485224</v>
      </c>
      <c r="D6" s="31">
        <v>135.75013333482582</v>
      </c>
      <c r="E6" s="31">
        <v>145.89632257612845</v>
      </c>
      <c r="F6" s="31">
        <v>158.23388615447246</v>
      </c>
    </row>
    <row r="7" spans="1:6" x14ac:dyDescent="0.25">
      <c r="A7" s="30">
        <v>0.090886</v>
      </c>
      <c r="B7" s="31">
        <v>102.93457900026932</v>
      </c>
      <c r="C7" s="31">
        <v>107.99226205811172</v>
      </c>
      <c r="D7" s="32">
        <v>113.80435759159604</v>
      </c>
      <c r="E7" s="31">
        <v>120.55672420753888</v>
      </c>
      <c r="F7" s="31">
        <v>128.5017339890536</v>
      </c>
    </row>
    <row r="8" spans="1:6" x14ac:dyDescent="0.25">
      <c r="A8" s="30">
        <v>0.100886</v>
      </c>
      <c r="B8" s="31">
        <v>89.8891374331817</v>
      </c>
      <c r="C8" s="31">
        <v>93.56807086898323</v>
      </c>
      <c r="D8" s="31">
        <v>97.72077799363957</v>
      </c>
      <c r="E8" s="31">
        <v>102.44751281122531</v>
      </c>
      <c r="F8" s="31">
        <v>107.87896189239184</v>
      </c>
    </row>
    <row r="9" spans="1:6" x14ac:dyDescent="0.25">
      <c r="A9" s="30">
        <v>0.110886</v>
      </c>
      <c r="B9" s="31">
        <v>79.62707331552036</v>
      </c>
      <c r="C9" s="31">
        <v>82.38172148608255</v>
      </c>
      <c r="D9" s="31">
        <v>85.44775095941753</v>
      </c>
      <c r="E9" s="31">
        <v>88.88290620974331</v>
      </c>
      <c r="F9" s="31">
        <v>92.76015045365928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798190000</v>
      </c>
      <c r="C5" s="18">
        <v>705823000</v>
      </c>
      <c r="D5" s="18">
        <v>631595000</v>
      </c>
      <c r="E5" s="18">
        <v>667422000</v>
      </c>
      <c r="F5" s="8" t="s">
        <v>84</v>
      </c>
    </row>
    <row r="6" spans="1:6" x14ac:dyDescent="0.25">
      <c r="A6" t="s">
        <v>44</v>
      </c>
      <c r="B6" s="18">
        <v>592161000</v>
      </c>
      <c r="C6" s="18">
        <v>539138000</v>
      </c>
      <c r="D6" s="18">
        <v>486053000</v>
      </c>
      <c r="E6" s="18">
        <v>562307000</v>
      </c>
      <c r="F6" s="8" t="s">
        <v>85</v>
      </c>
    </row>
    <row r="7" spans="1:6" x14ac:dyDescent="0.25">
      <c r="A7" t="s">
        <v>86</v>
      </c>
      <c r="B7" s="18">
        <v>62533000</v>
      </c>
      <c r="C7" s="18">
        <v>25162000</v>
      </c>
      <c r="D7" s="18">
        <v>14757000</v>
      </c>
      <c r="E7" s="18">
        <v>15376000</v>
      </c>
      <c r="F7" s="8" t="s">
        <v>87</v>
      </c>
    </row>
    <row r="8" spans="1:6" x14ac:dyDescent="0.25">
      <c r="A8" t="s">
        <v>88</v>
      </c>
      <c r="B8" s="18">
        <v>513775000</v>
      </c>
      <c r="C8" s="18">
        <v>425273000</v>
      </c>
      <c r="D8" s="18">
        <v>39997000</v>
      </c>
      <c r="E8" s="18">
        <v>20874000</v>
      </c>
      <c r="F8" s="8" t="s">
        <v>89</v>
      </c>
    </row>
    <row r="9" spans="1:6" x14ac:dyDescent="0.25">
      <c r="A9" t="s">
        <v>90</v>
      </c>
      <c r="B9" s="18">
        <v>19896000</v>
      </c>
      <c r="C9" s="18">
        <v>936000</v>
      </c>
      <c r="D9" s="18">
        <v>13856000</v>
      </c>
      <c r="E9" s="18">
        <v>24284000</v>
      </c>
      <c r="F9" s="8" t="s">
        <v>91</v>
      </c>
    </row>
    <row r="10" spans="1:6" x14ac:dyDescent="0.25">
      <c r="A10" t="s">
        <v>92</v>
      </c>
      <c r="B10" s="18">
        <v>16175000</v>
      </c>
      <c r="C10" s="18">
        <v>453000</v>
      </c>
      <c r="D10" s="18">
        <v>1170000</v>
      </c>
      <c r="E10" s="18">
        <v>1955000</v>
      </c>
      <c r="F10" s="8" t="s">
        <v>93</v>
      </c>
    </row>
    <row r="11" spans="1:6" x14ac:dyDescent="0.25">
      <c r="A11" t="s">
        <v>94</v>
      </c>
      <c r="B11" s="18">
        <v>144809000</v>
      </c>
      <c r="C11" s="18">
        <v>369835000</v>
      </c>
      <c r="D11" s="18">
        <v>725169000</v>
      </c>
      <c r="E11" s="18">
        <v>510834000</v>
      </c>
      <c r="F11" s="8" t="s">
        <v>95</v>
      </c>
    </row>
    <row r="12" spans="1:6" x14ac:dyDescent="0.25">
      <c r="A12" t="s">
        <v>32</v>
      </c>
      <c r="B12" s="34">
        <v>69027492</v>
      </c>
      <c r="C12" s="34">
        <v>69059253</v>
      </c>
      <c r="D12" s="34">
        <v>69179535</v>
      </c>
      <c r="E12" s="34">
        <v>69541281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