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<sst xmlns="http://schemas.openxmlformats.org/spreadsheetml/2006/main" count="122" uniqueCount="109">
  <si>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Texas Pacific Land Corporation (TPL)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</si>
  <si>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</si>
  <si>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</si>
  <si>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</si>
  <si>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</si>
  <si>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</si>
  <si>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</si>
  <si>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</si>
  <si>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</si>
  <si>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</si>
  <si>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</si>
  <si>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</si>
  <si>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</si>
  <si>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</si>
  <si>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</si>
  <si>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</si>
  <si>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</si>
  <si>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</si>
  <si>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</si>
  <si>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</si>
  <si>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</si>
  <si>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</si>
  <si>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</si>
  <si>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</si>
  <si>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</si>
  <si>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</si>
  <si>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</si>
  <si>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</si>
  <si>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</si>
  <si>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</si>
  <si>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</si>
  <si>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</si>
  <si>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</si>
  <si>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</si>
  <si>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</si>
  <si>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</si>
  <si>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</si>
  <si>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</si>
  <si>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</si>
  <si>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</si>
  <si>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</si>
  <si>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</si>
  <si>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</si>
  <si>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</si>
  <si>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</si>
  <si>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</si>
  <si>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</si>
  <si>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</si>
  <si>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</si>
  <si>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</si>
  <si>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</si>
  <si>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</si>
  <si>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</si>
  <si>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</si>
  <si>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</si>
  <si>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</si>
  <si>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</si>
  <si>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</si>
  <si>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</si>
  <si>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</si>
  <si>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</si>
  <si>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</si>
  <si>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</si>
  <si>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</si>
  <si>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</si>
  <si>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</si>
  <si>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</si>
  <si>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</si>
  <si>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</si>
  <si>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</si>
  <si>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</si>
  <si>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</si>
  <si>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</si>
  <si>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</si>
  <si>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</si>
  <si>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</si>
  <si>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</si>
  <si>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</si>
  <si>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</si>
  <si>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</si>
  <si>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</si>
  <si>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</si>
  <si>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</si>
  <si>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</si>
  <si>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</si>
  <si>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</si>
  <si>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</si>
  <si>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</si>
  <si>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</si>
  <si>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</si>
  <si>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</si>
  <si>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</si>
  <si>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</si>
  <si>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</si>
  <si>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</si>
  <si>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</si>
  <si>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</si>
  <si>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</si>
  <si>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</si>
  <si>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</si>
  <si>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</si>
  <si>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</si>
  <si>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</si>
  <si>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</si>
  <si>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</si>
  <si>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Consensus rests on as few as 1 analyst estimate(s).</t>
  </si>
  <si>
    <t>Adjusted: Capital expenditure runs at 33.5% of revenue against depreciation of 4.0%.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</si>
  <si>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34.7x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</si>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</sst>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0.2778912289053985</v>
      </c>
    </row>
    <row r="7" spans="1:2" x14ac:dyDescent="0.25">
      <c r="A7" t="s">
        <v>4</v>
      </c>
      <c r="B7" s="5">
        <v>0.7794482776050028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0.040098805137676885</v>
      </c>
    </row>
    <row r="10" spans="1:3" x14ac:dyDescent="0.25">
      <c r="A10" t="s">
        <v>7</v>
      </c>
      <c r="B10" s="5">
        <v>0.33519958716950876</v>
      </c>
      <c r="C10" s="6" t="s">
        <v>8</v>
      </c>
    </row>
    <row r="11" spans="1:2" x14ac:dyDescent="0.25">
      <c r="A11" t="s">
        <v>9</v>
      </c>
      <c r="B11" s="5">
        <v>0.16279360479628274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0.37209062494927436</v>
      </c>
      <c r="C14" s="6" t="s">
        <v>13</v>
      </c>
    </row>
    <row r="15" spans="1:3" x14ac:dyDescent="0.25">
      <c r="A15" t="s">
        <v>14</v>
      </c>
      <c r="B15" s="5">
        <v>0.040098805137676885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0.7239599999999999</v>
      </c>
      <c r="C19" s="6" t="s">
        <v>21</v>
      </c>
    </row>
    <row r="20" spans="1:2" x14ac:dyDescent="0.25">
      <c r="A20" t="s">
        <v>22</v>
      </c>
      <c r="B20" s="9">
        <f>B17+B19*B18</f>
        <v>0.079563508</v>
      </c>
    </row>
    <row r="21" spans="1:3" x14ac:dyDescent="0.25">
      <c r="A21" t="s">
        <v>23</v>
      </c>
      <c r="B21" s="5">
        <v>0.08299254269906182</v>
      </c>
      <c r="C21" s="6" t="s">
        <v>24</v>
      </c>
    </row>
    <row r="22" spans="1:2" x14ac:dyDescent="0.25">
      <c r="A22" t="s">
        <v>25</v>
      </c>
      <c r="B22" s="10">
        <v>22877521920</v>
      </c>
    </row>
    <row r="23" spans="1:2" x14ac:dyDescent="0.25">
      <c r="A23" t="s">
        <v>26</v>
      </c>
      <c r="B23" s="10">
        <v>16175000</v>
      </c>
    </row>
    <row r="24" spans="1:2" x14ac:dyDescent="0.25">
      <c r="A24" t="s">
        <v>27</v>
      </c>
      <c r="B24" s="9">
        <f>B22/(B22+B23)</f>
        <v>0.999293473655368</v>
      </c>
    </row>
    <row r="25" spans="1:2" x14ac:dyDescent="0.25">
      <c r="A25" t="s">
        <v>28</v>
      </c>
      <c r="B25" s="9">
        <f>1-B24</f>
        <v>0.0007065263446319747</v>
      </c>
    </row>
    <row r="26" spans="1:2" x14ac:dyDescent="0.25">
      <c r="A26" t="s">
        <v>29</v>
      </c>
      <c r="B26" s="11">
        <f>B24*B20+B25*B21*(1-B8)</f>
        <v>0.07955361705560832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798190000</v>
      </c>
      <c r="C29" s="6" t="s">
        <v>32</v>
      </c>
    </row>
    <row r="30" spans="1:2" x14ac:dyDescent="0.25">
      <c r="A30" t="s">
        <v>33</v>
      </c>
      <c r="B30" s="10">
        <v>-128634000</v>
      </c>
    </row>
    <row r="31" spans="1:2" x14ac:dyDescent="0.25">
      <c r="A31" t="s">
        <v>34</v>
      </c>
      <c r="B31" s="12">
        <v>69027492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0.2778912289053985</v>
      </c>
      <c r="C5" s="5">
        <v>0.11372549019607847</v>
      </c>
      <c r="D5" s="5">
        <v>0.10263480392156867</v>
      </c>
      <c r="E5" s="5">
        <v>0.09154411764705886</v>
      </c>
      <c r="F5" s="5">
        <v>0.08045343137254904</v>
      </c>
      <c r="G5" s="5">
        <v>0.06936274509803923</v>
      </c>
      <c r="H5" s="5">
        <v>0.05827205882352943</v>
      </c>
      <c r="I5" s="5">
        <v>0.04718137254901961</v>
      </c>
      <c r="J5" s="5">
        <v>0.0360906862745098</v>
      </c>
      <c r="K5" s="5">
        <v>0.024999999999999994</v>
      </c>
    </row>
    <row r="6" spans="1:11" x14ac:dyDescent="0.25">
      <c r="A6" t="s">
        <v>50</v>
      </c>
      <c r="B6" s="18">
        <f>Assumptions!B29*(1+B5)</f>
        <v>1020000000</v>
      </c>
      <c r="C6" s="18">
        <f>B6*(1+C5)</f>
        <v>1136000000</v>
      </c>
      <c r="D6" s="18">
        <f>C6*(1+D5)</f>
        <v>1252593137.2549021</v>
      </c>
      <c r="E6" s="18">
        <f>D6*(1+E5)</f>
        <v>1367260670.7756634</v>
      </c>
      <c r="F6" s="18">
        <f>E6*(1+F5)</f>
        <v>1477261483.3202987</v>
      </c>
      <c r="G6" s="18">
        <f>F6*(1+G5)</f>
        <v>1579728395.0309958</v>
      </c>
      <c r="H6" s="18">
        <f>G6*(1+H5)</f>
        <v>1671782420.991442</v>
      </c>
      <c r="I6" s="18">
        <f>H6*(1+I5)</f>
        <v>1750659410.217141</v>
      </c>
      <c r="J6" s="18">
        <f>I6*(1+J5)</f>
        <v>1813841909.7648063</v>
      </c>
      <c r="K6" s="18">
        <f>J6*(1+K5)</f>
        <v>1859187957.5089262</v>
      </c>
    </row>
    <row r="7" spans="1:11" x14ac:dyDescent="0.25">
      <c r="A7" t="s">
        <v>4</v>
      </c>
      <c r="B7" s="9">
        <f>Assumptions!B7</f>
        <v>0.7794482776050028</v>
      </c>
      <c r="C7" s="9">
        <f>Assumptions!B7</f>
        <v>0.7794482776050028</v>
      </c>
      <c r="D7" s="9">
        <f>Assumptions!B7</f>
        <v>0.7794482776050028</v>
      </c>
      <c r="E7" s="9">
        <f>Assumptions!B7</f>
        <v>0.7794482776050028</v>
      </c>
      <c r="F7" s="9">
        <f>Assumptions!B7</f>
        <v>0.7794482776050028</v>
      </c>
      <c r="G7" s="9">
        <f>Assumptions!B7</f>
        <v>0.7794482776050028</v>
      </c>
      <c r="H7" s="9">
        <f>Assumptions!B7</f>
        <v>0.7794482776050028</v>
      </c>
      <c r="I7" s="9">
        <f>Assumptions!B7</f>
        <v>0.7794482776050028</v>
      </c>
      <c r="J7" s="9">
        <f>Assumptions!B7</f>
        <v>0.7794482776050028</v>
      </c>
      <c r="K7" s="9">
        <f>Assumptions!B7</f>
        <v>0.7794482776050028</v>
      </c>
    </row>
    <row r="8" spans="1:11" x14ac:dyDescent="0.25">
      <c r="A8" t="s">
        <v>51</v>
      </c>
      <c r="B8" s="18">
        <f>B6*B7</f>
        <v>795037243.1571028</v>
      </c>
      <c r="C8" s="18">
        <f>C6*C7</f>
        <v>885453243.3592832</v>
      </c>
      <c r="D8" s="18">
        <f>D6*D7</f>
        <v>976331563.3731803</v>
      </c>
      <c r="E8" s="18">
        <f>E6*E7</f>
        <v>1065708974.8731515</v>
      </c>
      <c r="F8" s="18">
        <f>F6*F7</f>
        <v>1151448918.7462184</v>
      </c>
      <c r="G8" s="18">
        <f>G6*G7</f>
        <v>1231316576.590625</v>
      </c>
      <c r="H8" s="18">
        <f>H6*H7</f>
        <v>1303067928.572101</v>
      </c>
      <c r="I8" s="18">
        <f>I6*I7</f>
        <v>1364548461.9667406</v>
      </c>
      <c r="J8" s="18">
        <f>J6*J7</f>
        <v>1413795952.413947</v>
      </c>
      <c r="K8" s="18">
        <f>K6*K7</f>
        <v>1449140851.2242956</v>
      </c>
    </row>
    <row r="9" spans="1:11" x14ac:dyDescent="0.25">
      <c r="A9" t="s">
        <v>52</v>
      </c>
      <c r="B9" s="18">
        <f>B8*(1-Assumptions!B8)</f>
        <v>628079422.0941112</v>
      </c>
      <c r="C9" s="18">
        <f>C8*(1-Assumptions!B8)</f>
        <v>699508062.2538338</v>
      </c>
      <c r="D9" s="18">
        <f>D8*(1-Assumptions!B8)</f>
        <v>771301935.0648124</v>
      </c>
      <c r="E9" s="18">
        <f>E8*(1-Assumptions!B8)</f>
        <v>841910090.1497898</v>
      </c>
      <c r="F9" s="18">
        <f>F8*(1-Assumptions!B8)</f>
        <v>909644645.8095126</v>
      </c>
      <c r="G9" s="18">
        <f>G8*(1-Assumptions!B8)</f>
        <v>972740095.5065938</v>
      </c>
      <c r="H9" s="18">
        <f>H8*(1-Assumptions!B8)</f>
        <v>1029423663.57196</v>
      </c>
      <c r="I9" s="18">
        <f>I8*(1-Assumptions!B8)</f>
        <v>1077993284.953725</v>
      </c>
      <c r="J9" s="18">
        <f>J8*(1-Assumptions!B8)</f>
        <v>1116898802.4070182</v>
      </c>
      <c r="K9" s="18">
        <f>K8*(1-Assumptions!B8)</f>
        <v>1144821272.4671936</v>
      </c>
    </row>
    <row r="10" spans="1:11" x14ac:dyDescent="0.25">
      <c r="A10" t="s">
        <v>53</v>
      </c>
      <c r="B10" s="18">
        <f>B6*Assumptions!B9</f>
        <v>40900781.24043042</v>
      </c>
      <c r="C10" s="18">
        <f>C6*Assumptions!B9</f>
        <v>45552242.63640094</v>
      </c>
      <c r="D10" s="18">
        <f>D6*Assumptions!B9</f>
        <v>50227488.12757568</v>
      </c>
      <c r="E10" s="18">
        <f>E6*Assumptions!B9</f>
        <v>54825519.20984271</v>
      </c>
      <c r="F10" s="18">
        <f>F6*Assumptions!B9</f>
        <v>59236420.35705617</v>
      </c>
      <c r="G10" s="18">
        <f>G6*Assumptions!B9</f>
        <v>63345221.08280296</v>
      </c>
      <c r="H10" s="18">
        <f>H6*Assumptions!B9</f>
        <v>67036477.53192954</v>
      </c>
      <c r="I10" s="18">
        <f>I6*Assumptions!B9</f>
        <v>70199350.55273747</v>
      </c>
      <c r="J10" s="18">
        <f>J6*Assumptions!B9</f>
        <v>72732893.29021066</v>
      </c>
      <c r="K10" s="18">
        <f>K6*Assumptions!B9</f>
        <v>74551215.62246592</v>
      </c>
    </row>
    <row r="11" spans="1:11" x14ac:dyDescent="0.25">
      <c r="A11" t="s">
        <v>54</v>
      </c>
      <c r="B11" s="18">
        <f>-B6*B19</f>
        <v>-341903578.91289896</v>
      </c>
      <c r="C11" s="18">
        <f>-C6*C19</f>
        <v>-348760510.1880009</v>
      </c>
      <c r="D11" s="18">
        <f>-D6*D19</f>
        <v>-349242251.0342623</v>
      </c>
      <c r="E11" s="18">
        <f>-E6*E19</f>
        <v>-342667380.9268457</v>
      </c>
      <c r="F11" s="18">
        <f>-F6*F19</f>
        <v>-328589050.2723464</v>
      </c>
      <c r="G11" s="18">
        <f>-G6*G19</f>
        <v>-306845034.5469073</v>
      </c>
      <c r="H11" s="18">
        <f>-H6*H19</f>
        <v>-277594476.26896447</v>
      </c>
      <c r="I11" s="18">
        <f>-I6*I19</f>
        <v>-241337006.85338697</v>
      </c>
      <c r="J11" s="18">
        <f>-J6*J19</f>
        <v>-198911020.15562543</v>
      </c>
      <c r="K11" s="18">
        <f>-K6*K19</f>
        <v>-151469390.63851628</v>
      </c>
    </row>
    <row r="12" spans="1:11" x14ac:dyDescent="0.25">
      <c r="A12" t="s">
        <v>55</v>
      </c>
      <c r="B12" s="18">
        <f>-(B6-Assumptions!B29)*Assumptions!B11</f>
        <v>-36109249.47986347</v>
      </c>
      <c r="C12" s="18">
        <f>-(C6-B6)*Assumptions!B11</f>
        <v>-18884058.1563688</v>
      </c>
      <c r="D12" s="18">
        <f>-(D6-C6)*Assumptions!B11</f>
        <v>-18980617.108233288</v>
      </c>
      <c r="E12" s="18">
        <f>-(E6-D6)*Assumptions!B11</f>
        <v>-18667141.13494331</v>
      </c>
      <c r="F12" s="18">
        <f>-(F6-E6)*Assumptions!B11</f>
        <v>-17907428.80466134</v>
      </c>
      <c r="G12" s="18">
        <f>-(G6-F6)*Assumptions!B11</f>
        <v>-16680957.929726832</v>
      </c>
      <c r="H12" s="18">
        <f>-(H6-G6)*Assumptions!B11</f>
        <v>-14985806.722111618</v>
      </c>
      <c r="I12" s="18">
        <f>-(I6-H6)*Assumptions!B11</f>
        <v>-12840669.411529087</v>
      </c>
      <c r="J12" s="18">
        <f>-(J6-I6)*Assumptions!B11</f>
        <v>-10285706.861403948</v>
      </c>
      <c r="K12" s="18">
        <f>-(K6-J6)*Assumptions!B11</f>
        <v>-7382046.575529621</v>
      </c>
    </row>
    <row r="13" spans="1:11" x14ac:dyDescent="0.25">
      <c r="A13" s="19" t="s">
        <v>56</v>
      </c>
      <c r="B13" s="20">
        <f>B9+B10+B11+B12</f>
        <v>290967374.94177926</v>
      </c>
      <c r="C13" s="20">
        <f>C9+C10+C11+C12</f>
        <v>377415736.545865</v>
      </c>
      <c r="D13" s="20">
        <f>D9+D10+D11+D12</f>
        <v>453306555.0498925</v>
      </c>
      <c r="E13" s="20">
        <f>E9+E10+E11+E12</f>
        <v>535401087.2978434</v>
      </c>
      <c r="F13" s="20">
        <f>F9+F10+F11+F12</f>
        <v>622384587.089561</v>
      </c>
      <c r="G13" s="20">
        <f>G9+G10+G11+G12</f>
        <v>712559324.1127627</v>
      </c>
      <c r="H13" s="20">
        <f>H9+H10+H11+H12</f>
        <v>803879858.1128134</v>
      </c>
      <c r="I13" s="20">
        <f>I9+I10+I11+I12</f>
        <v>894014959.2415465</v>
      </c>
      <c r="J13" s="20">
        <f>J9+J10+J11+J12</f>
        <v>980434968.6801995</v>
      </c>
      <c r="K13" s="20">
        <f>K9+K10+K11+K12</f>
        <v>1060521050.8756136</v>
      </c>
    </row>
    <row r="14" spans="1:11" x14ac:dyDescent="0.25">
      <c r="A14" t="s">
        <v>57</v>
      </c>
      <c r="B14" s="21">
        <f>1/(1+Assumptions!$B$26)^(1-0.5*Assumptions!$B$32)</f>
        <v>0.9624493678087647</v>
      </c>
      <c r="C14" s="21">
        <f>1/(1+Assumptions!$B$26)^(2-0.5*Assumptions!$B$32)</f>
        <v>0.8915253050920845</v>
      </c>
      <c r="D14" s="21">
        <f>1/(1+Assumptions!$B$26)^(3-0.5*Assumptions!$B$32)</f>
        <v>0.825827722687498</v>
      </c>
      <c r="E14" s="21">
        <f>1/(1+Assumptions!$B$26)^(4-0.5*Assumptions!$B$32)</f>
        <v>0.7649714749137461</v>
      </c>
      <c r="F14" s="21">
        <f>1/(1+Assumptions!$B$26)^(5-0.5*Assumptions!$B$32)</f>
        <v>0.7085997979425435</v>
      </c>
      <c r="G14" s="21">
        <f>1/(1+Assumptions!$B$26)^(6-0.5*Assumptions!$B$32)</f>
        <v>0.6563822183053676</v>
      </c>
      <c r="H14" s="21">
        <f>1/(1+Assumptions!$B$26)^(7-0.5*Assumptions!$B$32)</f>
        <v>0.6080126155249193</v>
      </c>
      <c r="I14" s="21">
        <f>1/(1+Assumptions!$B$26)^(8-0.5*Assumptions!$B$32)</f>
        <v>0.563207427513626</v>
      </c>
      <c r="J14" s="21">
        <f>1/(1+Assumptions!$B$26)^(9-0.5*Assumptions!$B$32)</f>
        <v>0.5217039882185072</v>
      </c>
      <c r="K14" s="21">
        <f>1/(1+Assumptions!$B$26)^(10-0.5*Assumptions!$B$32)</f>
        <v>0.48325898776700954</v>
      </c>
    </row>
    <row r="15" spans="1:11" x14ac:dyDescent="0.25">
      <c r="A15" s="19" t="s">
        <v>58</v>
      </c>
      <c r="B15" s="20">
        <f>B13*B14</f>
        <v>280041366.06569123</v>
      </c>
      <c r="C15" s="20">
        <f>C13*C14</f>
        <v>336475679.6706061</v>
      </c>
      <c r="D15" s="20">
        <f>D13*D14</f>
        <v>374353120.0361677</v>
      </c>
      <c r="E15" s="20">
        <f>E13*E14</f>
        <v>409566559.4206546</v>
      </c>
      <c r="F15" s="20">
        <f>F13*F14</f>
        <v>441021592.65421623</v>
      </c>
      <c r="G15" s="20">
        <f>G13*G14</f>
        <v>467711269.83530855</v>
      </c>
      <c r="H15" s="20">
        <f>H13*H14</f>
        <v>488769095.0989726</v>
      </c>
      <c r="I15" s="20">
        <f>I13*I14</f>
        <v>503515865.3531306</v>
      </c>
      <c r="J15" s="20">
        <f>J13*J14</f>
        <v>511496833.34934723</v>
      </c>
      <c r="K15" s="20">
        <f>K13*K14</f>
        <v>512506329.55175424</v>
      </c>
    </row>
    <row r="17" spans="1:2" x14ac:dyDescent="0.25">
      <c r="A17" s="22" t="s">
        <v>59</v>
      </c>
      <c r="B17" s="23">
        <f>SUM(B15:K15)</f>
        <v>4325457711.035849</v>
      </c>
    </row>
    <row r="19" spans="1:11" x14ac:dyDescent="0.25">
      <c r="A19" t="s">
        <v>7</v>
      </c>
      <c r="B19" s="9">
        <f>Assumptions!$B$10+($B$20-Assumptions!$B$10)*0/9</f>
        <v>0.33519958716950876</v>
      </c>
      <c r="C19" s="9">
        <f>Assumptions!$B$10+($B$20-Assumptions!$B$10)*1/9</f>
        <v>0.30700749136267685</v>
      </c>
      <c r="D19" s="9">
        <f>Assumptions!$B$10+($B$20-Assumptions!$B$10)*2/9</f>
        <v>0.27881539555584495</v>
      </c>
      <c r="E19" s="9">
        <f>Assumptions!$B$10+($B$20-Assumptions!$B$10)*3/9</f>
        <v>0.25062329974901304</v>
      </c>
      <c r="F19" s="9">
        <f>Assumptions!$B$10+($B$20-Assumptions!$B$10)*4/9</f>
        <v>0.22243120394218113</v>
      </c>
      <c r="G19" s="9">
        <f>Assumptions!$B$10+($B$20-Assumptions!$B$10)*5/9</f>
        <v>0.19423910813534923</v>
      </c>
      <c r="H19" s="9">
        <f>Assumptions!$B$10+($B$20-Assumptions!$B$10)*6/9</f>
        <v>0.16604701232851732</v>
      </c>
      <c r="I19" s="9">
        <f>Assumptions!$B$10+($B$20-Assumptions!$B$10)*7/9</f>
        <v>0.1378549165216854</v>
      </c>
      <c r="J19" s="9">
        <f>Assumptions!$B$10+($B$20-Assumptions!$B$10)*8/9</f>
        <v>0.1096628207148535</v>
      </c>
      <c r="K19" s="9">
        <f>Assumptions!$B$10+($B$20-Assumptions!$B$10)*9/9</f>
        <v>0.0814707249080216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0.0814707249080216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1060521050.8756136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1144821272.4671936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0.06718793305638418</v>
      </c>
    </row>
    <row r="7" spans="1:2" x14ac:dyDescent="0.25">
      <c r="A7" t="s">
        <v>66</v>
      </c>
      <c r="B7" s="18">
        <f>-MAX(B5,0)*B6</f>
        <v>-76918175.01605035</v>
      </c>
    </row>
    <row r="8" spans="1:2" x14ac:dyDescent="0.25">
      <c r="A8" t="s">
        <v>67</v>
      </c>
      <c r="B8" s="18">
        <f>IF(OR(Assumptions!$B$33=0,Assumptions!B12&lt;=0),B5,MAX(B5+B7,0))</f>
        <v>1067903097.4511433</v>
      </c>
    </row>
    <row r="9" spans="1:2" x14ac:dyDescent="0.25">
      <c r="A9" t="s">
        <v>68</v>
      </c>
      <c r="B9" s="18">
        <f>B8*(1+Assumptions!B12)/(Assumptions!B26-Assumptions!B12)</f>
        <v>20064676440.64112</v>
      </c>
    </row>
    <row r="10" spans="1:2" x14ac:dyDescent="0.25">
      <c r="A10" t="s">
        <v>69</v>
      </c>
      <c r="B10" s="18">
        <f>B9/(1+Assumptions!B26)^(10-0.5*Assumptions!B32)</f>
        <v>9696435226.576792</v>
      </c>
    </row>
    <row r="11" spans="1:2" x14ac:dyDescent="0.25">
      <c r="A11" t="s">
        <v>70</v>
      </c>
      <c r="B11" s="18">
        <f>Forecast!B17+B10</f>
        <v>14021892937.61264</v>
      </c>
    </row>
    <row r="12" spans="1:2" x14ac:dyDescent="0.25">
      <c r="A12" t="s">
        <v>71</v>
      </c>
      <c r="B12" s="18">
        <f>-Assumptions!B30</f>
        <v>128634000</v>
      </c>
    </row>
    <row r="13" spans="1:2" x14ac:dyDescent="0.25">
      <c r="A13" t="s">
        <v>72</v>
      </c>
      <c r="B13" s="18">
        <f>B11+B12</f>
        <v>14150526937.61264</v>
      </c>
    </row>
    <row r="14" spans="1:2" x14ac:dyDescent="0.25">
      <c r="A14" s="19" t="s">
        <v>73</v>
      </c>
      <c r="B14" s="24">
        <f>B13/Assumptions!B31</f>
        <v>204.99842204338876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1523692066.8467615</v>
      </c>
    </row>
    <row r="18" spans="1:2" x14ac:dyDescent="0.25">
      <c r="A18" t="s">
        <v>68</v>
      </c>
      <c r="B18" s="18">
        <f>B17*Assumptions!B13</f>
        <v>30473841336.93523</v>
      </c>
    </row>
    <row r="19" spans="1:2" x14ac:dyDescent="0.25">
      <c r="A19" t="s">
        <v>69</v>
      </c>
      <c r="B19" s="18">
        <f>B18/(1+Assumptions!B26)^(10-0.5*Assumptions!B32)</f>
        <v>14726757717.859772</v>
      </c>
    </row>
    <row r="20" spans="1:2" x14ac:dyDescent="0.25">
      <c r="A20" t="s">
        <v>70</v>
      </c>
      <c r="B20" s="18">
        <f>Forecast!B17+B19</f>
        <v>19052215428.895622</v>
      </c>
    </row>
    <row r="21" spans="1:2" x14ac:dyDescent="0.25">
      <c r="A21" t="s">
        <v>71</v>
      </c>
      <c r="B21" s="18">
        <f>-Assumptions!B30</f>
        <v>128634000</v>
      </c>
    </row>
    <row r="22" spans="1:2" x14ac:dyDescent="0.25">
      <c r="A22" t="s">
        <v>72</v>
      </c>
      <c r="B22" s="18">
        <f>B20+B21</f>
        <v>19180849428.895622</v>
      </c>
    </row>
    <row r="23" spans="1:2" x14ac:dyDescent="0.25">
      <c r="A23" s="19" t="s">
        <v>73</v>
      </c>
      <c r="B23" s="25">
        <f>B22/Assumptions!B31</f>
        <v>277.87261094312424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331.68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204.99842204338876</v>
      </c>
    </row>
    <row r="29" spans="1:2" x14ac:dyDescent="0.25">
      <c r="A29" s="19" t="s">
        <v>81</v>
      </c>
      <c r="B29" s="11">
        <f>B28/B26-1</f>
        <v>-0.3819391520640716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0.059554</v>
      </c>
      <c r="B5" s="31">
        <v>282.0232101553311</v>
      </c>
      <c r="C5" s="31">
        <v>305.65505409359207</v>
      </c>
      <c r="D5" s="31">
        <v>336.28235422983397</v>
      </c>
      <c r="E5" s="31">
        <v>377.45562294714273</v>
      </c>
      <c r="F5" s="31">
        <v>435.6173758729518</v>
      </c>
    </row>
    <row r="6" spans="1:6" x14ac:dyDescent="0.25">
      <c r="A6" s="30">
        <v>0.069554</v>
      </c>
      <c r="B6" s="31">
        <v>225.42302934178173</v>
      </c>
      <c r="C6" s="31">
        <v>238.99586121285435</v>
      </c>
      <c r="D6" s="31">
        <v>255.7295128016045</v>
      </c>
      <c r="E6" s="31">
        <v>276.8226567015795</v>
      </c>
      <c r="F6" s="31">
        <v>304.1677622265597</v>
      </c>
    </row>
    <row r="7" spans="1:6" x14ac:dyDescent="0.25">
      <c r="A7" s="30">
        <v>0.079554</v>
      </c>
      <c r="B7" s="31">
        <v>186.64398782317798</v>
      </c>
      <c r="C7" s="31">
        <v>195.0095478733833</v>
      </c>
      <c r="D7" s="32">
        <v>204.99684062011312</v>
      </c>
      <c r="E7" s="31">
        <v>217.09676468805725</v>
      </c>
      <c r="F7" s="31">
        <v>232.0205798926802</v>
      </c>
    </row>
    <row r="8" spans="1:6" x14ac:dyDescent="0.25">
      <c r="A8" s="30">
        <v>0.089554</v>
      </c>
      <c r="B8" s="31">
        <v>158.49639612941394</v>
      </c>
      <c r="C8" s="31">
        <v>163.89843469438182</v>
      </c>
      <c r="D8" s="31">
        <v>170.20783602238032</v>
      </c>
      <c r="E8" s="31">
        <v>177.65313961445844</v>
      </c>
      <c r="F8" s="31">
        <v>186.54666966244787</v>
      </c>
    </row>
    <row r="9" spans="1:6" x14ac:dyDescent="0.25">
      <c r="A9" s="30">
        <v>0.099554</v>
      </c>
      <c r="B9" s="31">
        <v>137.19321779295055</v>
      </c>
      <c r="C9" s="31">
        <v>140.79254231113254</v>
      </c>
      <c r="D9" s="31">
        <v>144.93243918761002</v>
      </c>
      <c r="E9" s="31">
        <v>149.72948813561916</v>
      </c>
      <c r="F9" s="31">
        <v>155.3363873779344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798190000</v>
      </c>
      <c r="C5" s="18">
        <v>705823000</v>
      </c>
      <c r="D5" s="18">
        <v>631595000</v>
      </c>
      <c r="E5" s="18">
        <v>667422000</v>
      </c>
      <c r="F5" s="6" t="s">
        <v>91</v>
      </c>
    </row>
    <row r="6" spans="1:6" x14ac:dyDescent="0.25">
      <c r="A6" t="s">
        <v>51</v>
      </c>
      <c r="B6" s="18">
        <v>592161000</v>
      </c>
      <c r="C6" s="18">
        <v>539138000</v>
      </c>
      <c r="D6" s="18">
        <v>486053000</v>
      </c>
      <c r="E6" s="18">
        <v>562307000</v>
      </c>
      <c r="F6" s="6" t="s">
        <v>92</v>
      </c>
    </row>
    <row r="7" spans="1:6" x14ac:dyDescent="0.25">
      <c r="A7" t="s">
        <v>93</v>
      </c>
      <c r="B7" s="18">
        <v>62533000</v>
      </c>
      <c r="C7" s="18">
        <v>25162000</v>
      </c>
      <c r="D7" s="18">
        <v>14757000</v>
      </c>
      <c r="E7" s="18">
        <v>15376000</v>
      </c>
      <c r="F7" s="6" t="s">
        <v>94</v>
      </c>
    </row>
    <row r="8" spans="1:6" x14ac:dyDescent="0.25">
      <c r="A8" t="s">
        <v>95</v>
      </c>
      <c r="B8" s="18">
        <v>513775000</v>
      </c>
      <c r="C8" s="18">
        <v>425273000</v>
      </c>
      <c r="D8" s="18">
        <v>39997000</v>
      </c>
      <c r="E8" s="18">
        <v>20874000</v>
      </c>
      <c r="F8" s="6" t="s">
        <v>96</v>
      </c>
    </row>
    <row r="9" spans="1:6" x14ac:dyDescent="0.25">
      <c r="A9" t="s">
        <v>97</v>
      </c>
      <c r="B9" s="18">
        <v>19896000</v>
      </c>
      <c r="C9" s="18">
        <v>936000</v>
      </c>
      <c r="D9" s="18">
        <v>13856000</v>
      </c>
      <c r="E9" s="18">
        <v>24284000</v>
      </c>
      <c r="F9" s="6" t="s">
        <v>98</v>
      </c>
    </row>
    <row r="10" spans="1:6" x14ac:dyDescent="0.25">
      <c r="A10" t="s">
        <v>99</v>
      </c>
      <c r="B10" s="18">
        <v>16175000</v>
      </c>
      <c r="C10" s="18">
        <v>453000</v>
      </c>
      <c r="D10" s="18">
        <v>1170000</v>
      </c>
      <c r="E10" s="18">
        <v>1955000</v>
      </c>
      <c r="F10" s="6" t="s">
        <v>100</v>
      </c>
    </row>
    <row r="11" spans="1:6" x14ac:dyDescent="0.25">
      <c r="A11" t="s">
        <v>101</v>
      </c>
      <c r="B11" s="18">
        <v>144809000</v>
      </c>
      <c r="C11" s="18">
        <v>369835000</v>
      </c>
      <c r="D11" s="18">
        <v>725169000</v>
      </c>
      <c r="E11" s="18">
        <v>510834000</v>
      </c>
      <c r="F11" s="6" t="s">
        <v>102</v>
      </c>
    </row>
    <row r="12" spans="1:6" x14ac:dyDescent="0.25">
      <c r="A12" t="s">
        <v>34</v>
      </c>
      <c r="B12" s="34">
        <v>69027492</v>
      </c>
      <c r="C12" s="34">
        <v>69059253</v>
      </c>
      <c r="D12" s="34">
        <v>69179535</v>
      </c>
      <c r="E12" s="34">
        <v>69541281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