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<sst xmlns="http://schemas.openxmlformats.org/spreadsheetml/2006/main" count="119" uniqueCount="106">
  <si>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Tapestry, Inc. (TPR)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</si>
  <si>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</si>
  <si>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</si>
  <si>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</si>
  <si>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</si>
  <si>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</si>
  <si>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</si>
  <si>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</si>
  <si>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</si>
  <si>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</si>
  <si>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</si>
  <si>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</si>
  <si>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</si>
  <si>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</si>
  <si>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</si>
  <si>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</si>
  <si>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</si>
  <si>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</si>
  <si>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</si>
  <si>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</si>
  <si>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</si>
  <si>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</si>
  <si>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</si>
  <si>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</si>
  <si>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34.7x interest cover. Book interest / average debt was lower, at 1.4%.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</si>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</sst>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0.06668352864746008</v>
      </c>
    </row>
    <row r="7" spans="1:2" x14ac:dyDescent="0.25">
      <c r="A7" t="s">
        <v>4</v>
      </c>
      <c r="B7" s="5">
        <v>0.19180215329635963</v>
      </c>
    </row>
    <row r="8" spans="1:2" x14ac:dyDescent="0.25">
      <c r="A8" t="s">
        <v>5</v>
      </c>
      <c r="B8" s="5">
        <v>0.1800473893842329</v>
      </c>
    </row>
    <row r="9" spans="1:2" x14ac:dyDescent="0.25">
      <c r="A9" t="s">
        <v>6</v>
      </c>
      <c r="B9" s="5">
        <v>0.031800265575897976</v>
      </c>
    </row>
    <row r="10" spans="1:3" x14ac:dyDescent="0.25">
      <c r="A10" t="s">
        <v>7</v>
      </c>
      <c r="B10" s="5">
        <v>0.02055468775109521</v>
      </c>
      <c r="C10" s="6" t="s">
        <v>8</v>
      </c>
    </row>
    <row r="11" spans="1:2" x14ac:dyDescent="0.25">
      <c r="A11" t="s">
        <v>9</v>
      </c>
      <c r="B11" s="5">
        <v>0.09095204109679893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12.439486072433853</v>
      </c>
    </row>
    <row r="14" spans="1:3" x14ac:dyDescent="0.25">
      <c r="A14" t="s">
        <v>12</v>
      </c>
      <c r="B14" s="5">
        <v>0.2821000240745768</v>
      </c>
      <c r="C14" s="6" t="s">
        <v>13</v>
      </c>
    </row>
    <row r="15" spans="1:3" x14ac:dyDescent="0.25">
      <c r="A15" t="s">
        <v>14</v>
      </c>
      <c r="B15" s="5">
        <v>0.02419032220907913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1.3082</v>
      </c>
      <c r="C19" s="6" t="s">
        <v>21</v>
      </c>
    </row>
    <row r="20" spans="1:2" x14ac:dyDescent="0.25">
      <c r="A20" t="s">
        <v>22</v>
      </c>
      <c r="B20" s="9">
        <f>B17+B19*B18</f>
        <v>0.10427686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23715008512</v>
      </c>
    </row>
    <row r="23" spans="1:2" x14ac:dyDescent="0.25">
      <c r="A23" t="s">
        <v>26</v>
      </c>
      <c r="B23" s="10">
        <v>3953000000</v>
      </c>
    </row>
    <row r="24" spans="1:2" x14ac:dyDescent="0.25">
      <c r="A24" t="s">
        <v>27</v>
      </c>
      <c r="B24" s="9">
        <f>B22/(B22+B23)</f>
        <v>0.8571274113102312</v>
      </c>
    </row>
    <row r="25" spans="1:2" x14ac:dyDescent="0.25">
      <c r="A25" t="s">
        <v>28</v>
      </c>
      <c r="B25" s="9">
        <f>1-B24</f>
        <v>0.14287258868976882</v>
      </c>
    </row>
    <row r="26" spans="1:2" x14ac:dyDescent="0.25">
      <c r="A26" t="s">
        <v>29</v>
      </c>
      <c r="B26" s="11">
        <f>B24*B20+B25*B21*(1-B8)</f>
        <v>0.09558041000655976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8004200000</v>
      </c>
      <c r="C29" s="6" t="s">
        <v>32</v>
      </c>
    </row>
    <row r="30" spans="1:2" x14ac:dyDescent="0.25">
      <c r="A30" t="s">
        <v>33</v>
      </c>
      <c r="B30" s="10">
        <v>2801000000</v>
      </c>
    </row>
    <row r="31" spans="1:2" x14ac:dyDescent="0.25">
      <c r="A31" t="s">
        <v>34</v>
      </c>
      <c r="B31" s="12">
        <v>210200000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0.06668352864746008</v>
      </c>
      <c r="C5" s="5">
        <v>0.05261625559386429</v>
      </c>
      <c r="D5" s="5">
        <v>0.04916422364463126</v>
      </c>
      <c r="E5" s="5">
        <v>0.04571219169539822</v>
      </c>
      <c r="F5" s="5">
        <v>0.042260159746165184</v>
      </c>
      <c r="G5" s="5">
        <v>0.03880812779693214</v>
      </c>
      <c r="H5" s="5">
        <v>0.03535609584769911</v>
      </c>
      <c r="I5" s="5">
        <v>0.031904063898466076</v>
      </c>
      <c r="J5" s="5">
        <v>0.02845203194923304</v>
      </c>
      <c r="K5" s="5">
        <v>0.025</v>
      </c>
    </row>
    <row r="6" spans="1:11" x14ac:dyDescent="0.25">
      <c r="A6" t="s">
        <v>50</v>
      </c>
      <c r="B6" s="18">
        <f>Assumptions!B29*(1+B5)</f>
        <v>8537948300</v>
      </c>
      <c r="C6" s="18">
        <f>B6*(1+C5)</f>
        <v>8987183170</v>
      </c>
      <c r="D6" s="18">
        <f>C6*(1+D5)</f>
        <v>9429031053.305145</v>
      </c>
      <c r="E6" s="18">
        <f>D6*(1+E5)</f>
        <v>9860052728.315693</v>
      </c>
      <c r="F6" s="18">
        <f>E6*(1+F5)</f>
        <v>10276740131.719925</v>
      </c>
      <c r="G6" s="18">
        <f>F6*(1+G5)</f>
        <v>10675561176.087572</v>
      </c>
      <c r="H6" s="18">
        <f>G6*(1+H5)</f>
        <v>11053007340.2573</v>
      </c>
      <c r="I6" s="18">
        <f>H6*(1+I5)</f>
        <v>11405643192.711082</v>
      </c>
      <c r="J6" s="18">
        <f>I6*(1+J5)</f>
        <v>11730156917.23165</v>
      </c>
      <c r="K6" s="18">
        <f>J6*(1+K5)</f>
        <v>12023410840.16244</v>
      </c>
    </row>
    <row r="7" spans="1:11" x14ac:dyDescent="0.25">
      <c r="A7" t="s">
        <v>4</v>
      </c>
      <c r="B7" s="9">
        <f>Assumptions!B7</f>
        <v>0.19180215329635963</v>
      </c>
      <c r="C7" s="9">
        <f>Assumptions!B7</f>
        <v>0.19180215329635963</v>
      </c>
      <c r="D7" s="9">
        <f>Assumptions!B7</f>
        <v>0.19180215329635963</v>
      </c>
      <c r="E7" s="9">
        <f>Assumptions!B7</f>
        <v>0.19180215329635963</v>
      </c>
      <c r="F7" s="9">
        <f>Assumptions!B7</f>
        <v>0.19180215329635963</v>
      </c>
      <c r="G7" s="9">
        <f>Assumptions!B7</f>
        <v>0.19180215329635963</v>
      </c>
      <c r="H7" s="9">
        <f>Assumptions!B7</f>
        <v>0.19180215329635963</v>
      </c>
      <c r="I7" s="9">
        <f>Assumptions!B7</f>
        <v>0.19180215329635963</v>
      </c>
      <c r="J7" s="9">
        <f>Assumptions!B7</f>
        <v>0.19180215329635963</v>
      </c>
      <c r="K7" s="9">
        <f>Assumptions!B7</f>
        <v>0.19180215329635963</v>
      </c>
    </row>
    <row r="8" spans="1:11" x14ac:dyDescent="0.25">
      <c r="A8" t="s">
        <v>51</v>
      </c>
      <c r="B8" s="18">
        <f>B6*B7</f>
        <v>1637596868.6729932</v>
      </c>
      <c r="C8" s="18">
        <f>C6*C7</f>
        <v>1723761084.0748034</v>
      </c>
      <c r="D8" s="18">
        <f>D6*D7</f>
        <v>1808508459.5221689</v>
      </c>
      <c r="E8" s="18">
        <f>E6*E7</f>
        <v>1891179344.9065955</v>
      </c>
      <c r="F8" s="18">
        <f>F6*F7</f>
        <v>1971100886.1309962</v>
      </c>
      <c r="G8" s="18">
        <f>G6*G7</f>
        <v>2047595621.220614</v>
      </c>
      <c r="H8" s="18">
        <f>H6*H7</f>
        <v>2119990608.261819</v>
      </c>
      <c r="I8" s="18">
        <f>I6*I7</f>
        <v>2187626924.091952</v>
      </c>
      <c r="J8" s="18">
        <f>J6*J7</f>
        <v>2249869355.229218</v>
      </c>
      <c r="K8" s="18">
        <f>K6*K7</f>
        <v>2306116089.109948</v>
      </c>
    </row>
    <row r="9" spans="1:11" x14ac:dyDescent="0.25">
      <c r="A9" t="s">
        <v>52</v>
      </c>
      <c r="B9" s="18">
        <f>B8*(1-Assumptions!B8)</f>
        <v>1342751827.6046262</v>
      </c>
      <c r="C9" s="18">
        <f>C8*(1-Assumptions!B8)</f>
        <v>1413402400.9649997</v>
      </c>
      <c r="D9" s="18">
        <f>D8*(1-Assumptions!B8)</f>
        <v>1482891232.7059016</v>
      </c>
      <c r="E9" s="18">
        <f>E8*(1-Assumptions!B8)</f>
        <v>1550677440.998779</v>
      </c>
      <c r="F9" s="18">
        <f>F8*(1-Assumptions!B8)</f>
        <v>1616209317.3701622</v>
      </c>
      <c r="G9" s="18">
        <f>G8*(1-Assumptions!B8)</f>
        <v>1678931375.1052558</v>
      </c>
      <c r="H9" s="18">
        <f>H8*(1-Assumptions!B8)</f>
        <v>1738291833.7251863</v>
      </c>
      <c r="I9" s="18">
        <f>I8*(1-Assumptions!B8)</f>
        <v>1793750407.4625363</v>
      </c>
      <c r="J9" s="18">
        <f>J8*(1-Assumptions!B8)</f>
        <v>1844786251.36461</v>
      </c>
      <c r="K9" s="18">
        <f>K8*(1-Assumptions!B8)</f>
        <v>1890905907.648725</v>
      </c>
    </row>
    <row r="10" spans="1:11" x14ac:dyDescent="0.25">
      <c r="A10" t="s">
        <v>53</v>
      </c>
      <c r="B10" s="18">
        <f>B6*Assumptions!B9</f>
        <v>271509023.4132866</v>
      </c>
      <c r="C10" s="18">
        <f>C6*Assumptions!B9</f>
        <v>285794811.58524066</v>
      </c>
      <c r="D10" s="18">
        <f>D6*Assumptions!B9</f>
        <v>299845691.61849266</v>
      </c>
      <c r="E10" s="18">
        <f>E6*Assumptions!B9</f>
        <v>313552295.35279644</v>
      </c>
      <c r="F10" s="18">
        <f>F6*Assumptions!B9</f>
        <v>326803065.44318235</v>
      </c>
      <c r="G10" s="18">
        <f>G6*Assumptions!B9</f>
        <v>339485680.57133055</v>
      </c>
      <c r="H10" s="18">
        <f>H6*Assumptions!B9</f>
        <v>351488568.83253187</v>
      </c>
      <c r="I10" s="18">
        <f>I6*Assumptions!B9</f>
        <v>362702482.5921453</v>
      </c>
      <c r="J10" s="18">
        <f>J6*Assumptions!B9</f>
        <v>373022105.21492314</v>
      </c>
      <c r="K10" s="18">
        <f>K6*Assumptions!B9</f>
        <v>382347657.8452962</v>
      </c>
    </row>
    <row r="11" spans="1:11" x14ac:dyDescent="0.25">
      <c r="A11" t="s">
        <v>54</v>
      </c>
      <c r="B11" s="18">
        <f>-B6*B19</f>
        <v>-175494861.34149417</v>
      </c>
      <c r="C11" s="18">
        <f>-C6*C19</f>
        <v>-202828857.3206813</v>
      </c>
      <c r="D11" s="18">
        <f>-D6*D19</f>
        <v>-231790772.1510929</v>
      </c>
      <c r="E11" s="18">
        <f>-E6*E19</f>
        <v>-262244502.0214003</v>
      </c>
      <c r="F11" s="18">
        <f>-F6*F19</f>
        <v>-294024267.25695354</v>
      </c>
      <c r="G11" s="18">
        <f>-G6*G19</f>
        <v>-326935291.60952723</v>
      </c>
      <c r="H11" s="18">
        <f>-H6*H19</f>
        <v>-360755113.62089247</v>
      </c>
      <c r="I11" s="18">
        <f>-I6*I19</f>
        <v>-395235540.0493803</v>
      </c>
      <c r="J11" s="18">
        <f>-J6*J19</f>
        <v>-430105234.48480785</v>
      </c>
      <c r="K11" s="18">
        <f>-K6*K19</f>
        <v>-465072916.57495993</v>
      </c>
    </row>
    <row r="12" spans="1:11" x14ac:dyDescent="0.25">
      <c r="A12" t="s">
        <v>55</v>
      </c>
      <c r="B12" s="18">
        <f>-(B6-Assumptions!B29)*Assumptions!B11</f>
        <v>-48545497.316946566</v>
      </c>
      <c r="C12" s="18">
        <f>-(C6-B6)*Assumptions!B11</f>
        <v>-40858828.35835512</v>
      </c>
      <c r="D12" s="18">
        <f>-(D6-C6)*Assumptions!B11</f>
        <v>-40186966.840903185</v>
      </c>
      <c r="E12" s="18">
        <f>-(E6-D6)*Assumptions!B11</f>
        <v>-39202301.09917044</v>
      </c>
      <c r="F12" s="18">
        <f>-(F6-E6)*Assumptions!B11</f>
        <v>-37898569.83894014</v>
      </c>
      <c r="G12" s="18">
        <f>-(G6-F6)*Assumptions!B11</f>
        <v>-36273588.01759452</v>
      </c>
      <c r="H12" s="18">
        <f>-(H6-G6)*Assumptions!B11</f>
        <v>-34329499.035394154</v>
      </c>
      <c r="I12" s="18">
        <f>-(I6-H6)*Assumptions!B11</f>
        <v>-32072950.544581197</v>
      </c>
      <c r="J12" s="18">
        <f>-(J6-I6)*Assumptions!B11</f>
        <v>-29515185.60906989</v>
      </c>
      <c r="K12" s="18">
        <f>-(K6-J6)*Assumptions!B11</f>
        <v>-26672042.850198712</v>
      </c>
    </row>
    <row r="13" spans="1:11" x14ac:dyDescent="0.25">
      <c r="A13" s="19" t="s">
        <v>56</v>
      </c>
      <c r="B13" s="20">
        <f>B9+B10+B11+B12</f>
        <v>1390220492.3594723</v>
      </c>
      <c r="C13" s="20">
        <f>C9+C10+C11+C12</f>
        <v>1455509526.871204</v>
      </c>
      <c r="D13" s="20">
        <f>D9+D10+D11+D12</f>
        <v>1510759185.332398</v>
      </c>
      <c r="E13" s="20">
        <f>E9+E10+E11+E12</f>
        <v>1562782933.2310047</v>
      </c>
      <c r="F13" s="20">
        <f>F9+F10+F11+F12</f>
        <v>1611089545.7174509</v>
      </c>
      <c r="G13" s="20">
        <f>G9+G10+G11+G12</f>
        <v>1655208176.0494645</v>
      </c>
      <c r="H13" s="20">
        <f>H9+H10+H11+H12</f>
        <v>1694695789.9014316</v>
      </c>
      <c r="I13" s="20">
        <f>I9+I10+I11+I12</f>
        <v>1729144399.4607203</v>
      </c>
      <c r="J13" s="20">
        <f>J9+J10+J11+J12</f>
        <v>1758187936.4856553</v>
      </c>
      <c r="K13" s="20">
        <f>K9+K10+K11+K12</f>
        <v>1781508606.0688627</v>
      </c>
    </row>
    <row r="14" spans="1:11" x14ac:dyDescent="0.25">
      <c r="A14" t="s">
        <v>57</v>
      </c>
      <c r="B14" s="21">
        <f>1/(1+Assumptions!$B$26)^(1-0.5*Assumptions!$B$32)</f>
        <v>0.9553837957953086</v>
      </c>
      <c r="C14" s="21">
        <f>1/(1+Assumptions!$B$26)^(2-0.5*Assumptions!$B$32)</f>
        <v>0.8720343911494257</v>
      </c>
      <c r="D14" s="21">
        <f>1/(1+Assumptions!$B$26)^(3-0.5*Assumptions!$B$32)</f>
        <v>0.7959565388214677</v>
      </c>
      <c r="E14" s="21">
        <f>1/(1+Assumptions!$B$26)^(4-0.5*Assumptions!$B$32)</f>
        <v>0.7265158554785603</v>
      </c>
      <c r="F14" s="21">
        <f>1/(1+Assumptions!$B$26)^(5-0.5*Assumptions!$B$32)</f>
        <v>0.6631333025334126</v>
      </c>
      <c r="G14" s="21">
        <f>1/(1+Assumptions!$B$26)^(6-0.5*Assumptions!$B$32)</f>
        <v>0.6052803577689402</v>
      </c>
      <c r="H14" s="21">
        <f>1/(1+Assumptions!$B$26)^(7-0.5*Assumptions!$B$32)</f>
        <v>0.5524746081990605</v>
      </c>
      <c r="I14" s="21">
        <f>1/(1+Assumptions!$B$26)^(8-0.5*Assumptions!$B$32)</f>
        <v>0.5042757274162583</v>
      </c>
      <c r="J14" s="21">
        <f>1/(1+Assumptions!$B$26)^(9-0.5*Assumptions!$B$32)</f>
        <v>0.4602818038826004</v>
      </c>
      <c r="K14" s="21">
        <f>1/(1+Assumptions!$B$26)^(10-0.5*Assumptions!$B$32)</f>
        <v>0.42012598954726144</v>
      </c>
    </row>
    <row r="15" spans="1:11" x14ac:dyDescent="0.25">
      <c r="A15" s="19" t="s">
        <v>58</v>
      </c>
      <c r="B15" s="20">
        <f>B13*B14</f>
        <v>1328194130.9828155</v>
      </c>
      <c r="C15" s="20">
        <f>C13*C14</f>
        <v>1269254364.077319</v>
      </c>
      <c r="D15" s="20">
        <f>D13*D14</f>
        <v>1202498652.1499157</v>
      </c>
      <c r="E15" s="20">
        <f>E13*E14</f>
        <v>1135386579.6636171</v>
      </c>
      <c r="F15" s="20">
        <f>F13*F14</f>
        <v>1068367131.1286687</v>
      </c>
      <c r="G15" s="20">
        <f>G13*G14</f>
        <v>1001864996.9812948</v>
      </c>
      <c r="H15" s="20">
        <f>H13*H14</f>
        <v>936276392.5423907</v>
      </c>
      <c r="I15" s="20">
        <f>I13*I14</f>
        <v>871965549.8458037</v>
      </c>
      <c r="J15" s="20">
        <f>J13*J14</f>
        <v>809261914.9702443</v>
      </c>
      <c r="K15" s="20">
        <f>K13*K14</f>
        <v>748458066.0116433</v>
      </c>
    </row>
    <row r="17" spans="1:2" x14ac:dyDescent="0.25">
      <c r="A17" s="22" t="s">
        <v>59</v>
      </c>
      <c r="B17" s="23">
        <f>SUM(B15:K15)</f>
        <v>10371527778.35371</v>
      </c>
    </row>
    <row r="19" spans="1:11" x14ac:dyDescent="0.25">
      <c r="A19" t="s">
        <v>7</v>
      </c>
      <c r="B19" s="9">
        <f>Assumptions!$B$10+($B$20-Assumptions!$B$10)*0/9</f>
        <v>0.02055468775109521</v>
      </c>
      <c r="C19" s="9">
        <f>Assumptions!$B$10+($B$20-Assumptions!$B$10)*1/9</f>
        <v>0.022568679583358408</v>
      </c>
      <c r="D19" s="9">
        <f>Assumptions!$B$10+($B$20-Assumptions!$B$10)*2/9</f>
        <v>0.024582671415621607</v>
      </c>
      <c r="E19" s="9">
        <f>Assumptions!$B$10+($B$20-Assumptions!$B$10)*3/9</f>
        <v>0.026596663247884806</v>
      </c>
      <c r="F19" s="9">
        <f>Assumptions!$B$10+($B$20-Assumptions!$B$10)*4/9</f>
        <v>0.028610655080148005</v>
      </c>
      <c r="G19" s="9">
        <f>Assumptions!$B$10+($B$20-Assumptions!$B$10)*5/9</f>
        <v>0.030624646912411208</v>
      </c>
      <c r="H19" s="9">
        <f>Assumptions!$B$10+($B$20-Assumptions!$B$10)*6/9</f>
        <v>0.0326386387446744</v>
      </c>
      <c r="I19" s="9">
        <f>Assumptions!$B$10+($B$20-Assumptions!$B$10)*7/9</f>
        <v>0.034652630576937606</v>
      </c>
      <c r="J19" s="9">
        <f>Assumptions!$B$10+($B$20-Assumptions!$B$10)*8/9</f>
        <v>0.03666662240920081</v>
      </c>
      <c r="K19" s="9">
        <f>Assumptions!$B$10+($B$20-Assumptions!$B$10)*9/9</f>
        <v>0.038680614241464004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0.038680614241464004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1781508606.0688627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1965929501.606797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0.0886210488000204</v>
      </c>
    </row>
    <row r="7" spans="1:2" x14ac:dyDescent="0.25">
      <c r="A7" t="s">
        <v>66</v>
      </c>
      <c r="B7" s="18">
        <f>-MAX(B5,0)*B6</f>
        <v>-174222734.29929575</v>
      </c>
    </row>
    <row r="8" spans="1:2" x14ac:dyDescent="0.25">
      <c r="A8" t="s">
        <v>67</v>
      </c>
      <c r="B8" s="18">
        <f>IF(OR(Assumptions!$B$33=0,Assumptions!B12&lt;=0),B5,MAX(B5+B7,0))</f>
        <v>1791706767.3075013</v>
      </c>
    </row>
    <row r="9" spans="1:2" x14ac:dyDescent="0.25">
      <c r="A9" t="s">
        <v>68</v>
      </c>
      <c r="B9" s="18">
        <f>B8*(1+Assumptions!B12)/(Assumptions!B26-Assumptions!B12)</f>
        <v>26019959877.24503</v>
      </c>
    </row>
    <row r="10" spans="1:2" x14ac:dyDescent="0.25">
      <c r="A10" t="s">
        <v>69</v>
      </c>
      <c r="B10" s="18">
        <f>B9/(1+Assumptions!B26)^(10-0.5*Assumptions!B32)</f>
        <v>10931661391.407608</v>
      </c>
    </row>
    <row r="11" spans="1:2" x14ac:dyDescent="0.25">
      <c r="A11" t="s">
        <v>70</v>
      </c>
      <c r="B11" s="18">
        <f>Forecast!B17+B10</f>
        <v>21303189169.76132</v>
      </c>
    </row>
    <row r="12" spans="1:2" x14ac:dyDescent="0.25">
      <c r="A12" t="s">
        <v>71</v>
      </c>
      <c r="B12" s="18">
        <f>-Assumptions!B30</f>
        <v>-2801000000</v>
      </c>
    </row>
    <row r="13" spans="1:2" x14ac:dyDescent="0.25">
      <c r="A13" t="s">
        <v>72</v>
      </c>
      <c r="B13" s="18">
        <f>B11+B12</f>
        <v>18502189169.76132</v>
      </c>
    </row>
    <row r="14" spans="1:2" x14ac:dyDescent="0.25">
      <c r="A14" s="19" t="s">
        <v>73</v>
      </c>
      <c r="B14" s="24">
        <f>B13/Assumptions!B31</f>
        <v>88.02183239658096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2688463746.9552445</v>
      </c>
    </row>
    <row r="18" spans="1:2" x14ac:dyDescent="0.25">
      <c r="A18" t="s">
        <v>68</v>
      </c>
      <c r="B18" s="18">
        <f>B17*Assumptions!B13</f>
        <v>33443107336.493095</v>
      </c>
    </row>
    <row r="19" spans="1:2" x14ac:dyDescent="0.25">
      <c r="A19" t="s">
        <v>69</v>
      </c>
      <c r="B19" s="18">
        <f>B18/(1+Assumptions!B26)^(10-0.5*Assumptions!B32)</f>
        <v>14050318563.27944</v>
      </c>
    </row>
    <row r="20" spans="1:2" x14ac:dyDescent="0.25">
      <c r="A20" t="s">
        <v>70</v>
      </c>
      <c r="B20" s="18">
        <f>Forecast!B17+B19</f>
        <v>24421846341.63315</v>
      </c>
    </row>
    <row r="21" spans="1:2" x14ac:dyDescent="0.25">
      <c r="A21" t="s">
        <v>71</v>
      </c>
      <c r="B21" s="18">
        <f>-Assumptions!B30</f>
        <v>-2801000000</v>
      </c>
    </row>
    <row r="22" spans="1:2" x14ac:dyDescent="0.25">
      <c r="A22" t="s">
        <v>72</v>
      </c>
      <c r="B22" s="18">
        <f>B20+B21</f>
        <v>21620846341.63315</v>
      </c>
    </row>
    <row r="23" spans="1:2" x14ac:dyDescent="0.25">
      <c r="A23" s="19" t="s">
        <v>73</v>
      </c>
      <c r="B23" s="25">
        <f>B22/Assumptions!B31</f>
        <v>102.85845072137559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119.51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88.02183239658096</v>
      </c>
    </row>
    <row r="29" spans="1:2" x14ac:dyDescent="0.25">
      <c r="A29" s="19" t="s">
        <v>81</v>
      </c>
      <c r="B29" s="11">
        <f>B28/B26-1</f>
        <v>-0.2634772621824035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0.07558</v>
      </c>
      <c r="B5" s="31">
        <v>115.5249556837776</v>
      </c>
      <c r="C5" s="31">
        <v>120.61516255764776</v>
      </c>
      <c r="D5" s="31">
        <v>126.78748721976824</v>
      </c>
      <c r="E5" s="31">
        <v>134.39804566012933</v>
      </c>
      <c r="F5" s="31">
        <v>143.97846692440888</v>
      </c>
    </row>
    <row r="6" spans="1:6" x14ac:dyDescent="0.25">
      <c r="A6" s="30">
        <v>0.08558</v>
      </c>
      <c r="B6" s="31">
        <v>97.35170598304657</v>
      </c>
      <c r="C6" s="31">
        <v>100.49137968435065</v>
      </c>
      <c r="D6" s="31">
        <v>104.20915076057736</v>
      </c>
      <c r="E6" s="31">
        <v>108.66103685519272</v>
      </c>
      <c r="F6" s="31">
        <v>114.06474704838314</v>
      </c>
    </row>
    <row r="7" spans="1:6" x14ac:dyDescent="0.25">
      <c r="A7" s="30">
        <v>0.09558</v>
      </c>
      <c r="B7" s="31">
        <v>83.70404361572825</v>
      </c>
      <c r="C7" s="31">
        <v>85.69768135680002</v>
      </c>
      <c r="D7" s="32">
        <v>88.02240215408881</v>
      </c>
      <c r="E7" s="31">
        <v>90.75393406253902</v>
      </c>
      <c r="F7" s="31">
        <v>93.99300614566039</v>
      </c>
    </row>
    <row r="8" spans="1:6" x14ac:dyDescent="0.25">
      <c r="A8" s="30">
        <v>0.10558</v>
      </c>
      <c r="B8" s="31">
        <v>73.08208935207823</v>
      </c>
      <c r="C8" s="31">
        <v>74.36526729638467</v>
      </c>
      <c r="D8" s="31">
        <v>75.84803936369244</v>
      </c>
      <c r="E8" s="31">
        <v>77.5700180420277</v>
      </c>
      <c r="F8" s="31">
        <v>79.58204066725632</v>
      </c>
    </row>
    <row r="9" spans="1:6" x14ac:dyDescent="0.25">
      <c r="A9" s="30">
        <v>0.11558</v>
      </c>
      <c r="B9" s="31">
        <v>64.5825326389285</v>
      </c>
      <c r="C9" s="31">
        <v>65.40745058498493</v>
      </c>
      <c r="D9" s="31">
        <v>66.35748125604155</v>
      </c>
      <c r="E9" s="31">
        <v>67.4545537345359</v>
      </c>
      <c r="F9" s="31">
        <v>68.72603991314065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8004200000</v>
      </c>
      <c r="C5" s="18">
        <v>7010700000</v>
      </c>
      <c r="D5" s="18">
        <v>6671200000</v>
      </c>
      <c r="E5" s="18">
        <v>6660900000</v>
      </c>
      <c r="F5" s="6" t="s">
        <v>91</v>
      </c>
    </row>
    <row r="6" spans="1:6" x14ac:dyDescent="0.25">
      <c r="A6" t="s">
        <v>51</v>
      </c>
      <c r="B6" s="18">
        <v>1914400000</v>
      </c>
      <c r="C6" s="18">
        <v>1269800000</v>
      </c>
      <c r="D6" s="18">
        <v>1140100000</v>
      </c>
      <c r="E6" s="18">
        <v>1172400000</v>
      </c>
      <c r="F6" s="6" t="s">
        <v>92</v>
      </c>
    </row>
    <row r="7" spans="1:6" x14ac:dyDescent="0.25">
      <c r="A7" t="s">
        <v>93</v>
      </c>
      <c r="B7" s="18">
        <v>217200000</v>
      </c>
      <c r="C7" s="18">
        <v>224900000</v>
      </c>
      <c r="D7" s="18">
        <v>229000000</v>
      </c>
      <c r="E7" s="18">
        <v>224200000</v>
      </c>
      <c r="F7" s="6" t="s">
        <v>94</v>
      </c>
    </row>
    <row r="8" spans="1:6" x14ac:dyDescent="0.25">
      <c r="A8" t="s">
        <v>95</v>
      </c>
      <c r="B8" s="18">
        <v>166000000</v>
      </c>
      <c r="C8" s="18">
        <v>122700000</v>
      </c>
      <c r="D8" s="18">
        <v>108900000</v>
      </c>
      <c r="E8" s="18">
        <v>184200000</v>
      </c>
      <c r="F8" s="6" t="s">
        <v>96</v>
      </c>
    </row>
    <row r="9" spans="1:6" x14ac:dyDescent="0.25">
      <c r="A9" t="s">
        <v>97</v>
      </c>
      <c r="B9" s="18">
        <v>-119200000</v>
      </c>
      <c r="C9" s="18">
        <v>39300000</v>
      </c>
      <c r="D9" s="18">
        <v>-167900000</v>
      </c>
      <c r="E9" s="18">
        <v>258900000</v>
      </c>
      <c r="F9" s="6" t="s">
        <v>98</v>
      </c>
    </row>
    <row r="10" spans="1:6" x14ac:dyDescent="0.25">
      <c r="A10" t="s">
        <v>99</v>
      </c>
      <c r="B10" s="18">
        <v>3953000000</v>
      </c>
      <c r="C10" s="18">
        <v>3899200000</v>
      </c>
      <c r="D10" s="18">
        <v>8764500000</v>
      </c>
      <c r="E10" s="18">
        <v>3292000000</v>
      </c>
      <c r="F10" s="6" t="s">
        <v>100</v>
      </c>
    </row>
    <row r="11" spans="1:6" x14ac:dyDescent="0.25">
      <c r="A11" t="s">
        <v>101</v>
      </c>
      <c r="B11" s="18">
        <v>1152000000</v>
      </c>
      <c r="C11" s="18">
        <v>1119600000</v>
      </c>
      <c r="D11" s="18">
        <v>7203800000</v>
      </c>
      <c r="E11" s="18">
        <v>741500000</v>
      </c>
      <c r="F11" s="6" t="s">
        <v>102</v>
      </c>
    </row>
    <row r="12" spans="1:6" x14ac:dyDescent="0.25">
      <c r="A12" t="s">
        <v>34</v>
      </c>
      <c r="B12" s="34">
        <v>210200000</v>
      </c>
      <c r="C12" s="34">
        <v>222500000</v>
      </c>
      <c r="D12" s="34">
        <v>233200000</v>
      </c>
      <c r="E12" s="34">
        <v>241300000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