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<sst xmlns="http://schemas.openxmlformats.org/spreadsheetml/2006/main" count="111" uniqueCount="99">
  <si>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Tapestry, Inc. (TPR)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</si>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</sst>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0.06315113223633251</v>
      </c>
    </row>
    <row r="7" spans="1:2" x14ac:dyDescent="0.25">
      <c r="A7" t="s">
        <v>5</v>
      </c>
      <c r="B7" s="6">
        <v>0.19180215329635963</v>
      </c>
    </row>
    <row r="8" spans="1:2" x14ac:dyDescent="0.25">
      <c r="A8" t="s">
        <v>6</v>
      </c>
      <c r="B8" s="6">
        <v>0.1800473893842329</v>
      </c>
    </row>
    <row r="9" spans="1:2" x14ac:dyDescent="0.25">
      <c r="A9" t="s">
        <v>7</v>
      </c>
      <c r="B9" s="6">
        <v>0.031800265575897976</v>
      </c>
    </row>
    <row r="10" spans="1:2" x14ac:dyDescent="0.25">
      <c r="A10" t="s">
        <v>8</v>
      </c>
      <c r="B10" s="6">
        <v>0.02055468775109521</v>
      </c>
    </row>
    <row r="11" spans="1:2" x14ac:dyDescent="0.25">
      <c r="A11" t="s">
        <v>9</v>
      </c>
      <c r="B11" s="6">
        <v>-0.11997986914947156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12.071234227810097</v>
      </c>
    </row>
    <row r="14" spans="1:3" x14ac:dyDescent="0.25">
      <c r="A14" t="s">
        <v>12</v>
      </c>
      <c r="B14" s="6">
        <v>0.2821000240745768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1.28944</v>
      </c>
      <c r="C19" s="8" t="s">
        <v>19</v>
      </c>
    </row>
    <row r="20" spans="1:2" x14ac:dyDescent="0.25">
      <c r="A20" t="s">
        <v>20</v>
      </c>
      <c r="B20" s="10">
        <f>B17+B19*B18</f>
        <v>0.12089920000000001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22930042880</v>
      </c>
    </row>
    <row r="23" spans="1:2" x14ac:dyDescent="0.25">
      <c r="A23" t="s">
        <v>24</v>
      </c>
      <c r="B23" s="11">
        <v>3953000000</v>
      </c>
    </row>
    <row r="24" spans="1:2" x14ac:dyDescent="0.25">
      <c r="A24" t="s">
        <v>25</v>
      </c>
      <c r="B24" s="10">
        <f>B22/(B22+B23)</f>
        <v>0.8529556338675899</v>
      </c>
    </row>
    <row r="25" spans="1:2" x14ac:dyDescent="0.25">
      <c r="A25" t="s">
        <v>26</v>
      </c>
      <c r="B25" s="10">
        <f>1-B24</f>
        <v>0.14704436613241012</v>
      </c>
    </row>
    <row r="26" spans="1:2" x14ac:dyDescent="0.25">
      <c r="A26" t="s">
        <v>27</v>
      </c>
      <c r="B26" s="12">
        <f>B24*B20+B25*B21*(1-B8)</f>
        <v>0.10914771297617731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8004200000</v>
      </c>
      <c r="C29" s="8" t="s">
        <v>30</v>
      </c>
    </row>
    <row r="30" spans="1:2" x14ac:dyDescent="0.25">
      <c r="A30" t="s">
        <v>31</v>
      </c>
      <c r="B30" s="11">
        <v>2801000000</v>
      </c>
    </row>
    <row r="31" spans="1:2" x14ac:dyDescent="0.25">
      <c r="A31" t="s">
        <v>32</v>
      </c>
      <c r="B31" s="13">
        <v>210200000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0.06315113223633251</v>
      </c>
      <c r="C5" s="10">
        <f>Assumptions!B6</f>
        <v>0.06315113223633251</v>
      </c>
      <c r="D5" s="10">
        <f>Assumptions!B6</f>
        <v>0.06315113223633251</v>
      </c>
      <c r="E5" s="10">
        <f>Assumptions!B6</f>
        <v>0.06315113223633251</v>
      </c>
      <c r="F5" s="10">
        <f>Assumptions!B6</f>
        <v>0.06315113223633251</v>
      </c>
    </row>
    <row r="6" spans="1:6" x14ac:dyDescent="0.25">
      <c r="A6" t="s">
        <v>43</v>
      </c>
      <c r="B6" s="18">
        <f>Assumptions!B29*(1+B5)</f>
        <v>8509674292.646052</v>
      </c>
      <c r="C6" s="18">
        <f>B6*(1+C5)</f>
        <v>9047069859.189062</v>
      </c>
      <c r="D6" s="18">
        <f>C6*(1+D5)</f>
        <v>9618402564.218048</v>
      </c>
      <c r="E6" s="18">
        <f>D6*(1+E5)</f>
        <v>10225815576.453262</v>
      </c>
      <c r="F6" s="18">
        <f>E6*(1+F5)</f>
        <v>10871587408.146212</v>
      </c>
    </row>
    <row r="7" spans="1:6" x14ac:dyDescent="0.25">
      <c r="A7" t="s">
        <v>5</v>
      </c>
      <c r="B7" s="10">
        <f>Assumptions!B7</f>
        <v>0.19180215329635963</v>
      </c>
      <c r="C7" s="10">
        <f>Assumptions!B7</f>
        <v>0.19180215329635963</v>
      </c>
      <c r="D7" s="10">
        <f>Assumptions!B7</f>
        <v>0.19180215329635963</v>
      </c>
      <c r="E7" s="10">
        <f>Assumptions!B7</f>
        <v>0.19180215329635963</v>
      </c>
      <c r="F7" s="10">
        <f>Assumptions!B7</f>
        <v>0.19180215329635963</v>
      </c>
    </row>
    <row r="8" spans="1:6" x14ac:dyDescent="0.25">
      <c r="A8" t="s">
        <v>44</v>
      </c>
      <c r="B8" s="18">
        <f>B6*B7</f>
        <v>1632173853.180189</v>
      </c>
      <c r="C8" s="18">
        <f>C6*C7</f>
        <v>1735247480.0150552</v>
      </c>
      <c r="D8" s="18">
        <f>D6*D7</f>
        <v>1844830323.0882487</v>
      </c>
      <c r="E8" s="18">
        <f>E6*E7</f>
        <v>1961333446.7751908</v>
      </c>
      <c r="F8" s="18">
        <f>F6*F7</f>
        <v>2085193874.6320329</v>
      </c>
    </row>
    <row r="9" spans="1:6" x14ac:dyDescent="0.25">
      <c r="A9" t="s">
        <v>45</v>
      </c>
      <c r="B9" s="18">
        <f>B8*(1-Assumptions!B8)</f>
        <v>1338305211.8938916</v>
      </c>
      <c r="C9" s="18">
        <f>C8*(1-Assumptions!B8)</f>
        <v>1422820701.3027756</v>
      </c>
      <c r="D9" s="18">
        <f>D8*(1-Assumptions!B8)</f>
        <v>1512673439.5593386</v>
      </c>
      <c r="E9" s="18">
        <f>E8*(1-Assumptions!B8)</f>
        <v>1608200479.9713383</v>
      </c>
      <c r="F9" s="18">
        <f>F8*(1-Assumptions!B8)</f>
        <v>1709760161.144542</v>
      </c>
    </row>
    <row r="10" spans="1:6" x14ac:dyDescent="0.25">
      <c r="A10" t="s">
        <v>46</v>
      </c>
      <c r="B10" s="18">
        <f>B6*Assumptions!B9</f>
        <v>270609902.47053623</v>
      </c>
      <c r="C10" s="18">
        <f>C6*Assumptions!B9</f>
        <v>287699224.2059141</v>
      </c>
      <c r="D10" s="18">
        <f>D6*Assumptions!B9</f>
        <v>305867755.958032</v>
      </c>
      <c r="E10" s="18">
        <f>E6*Assumptions!B9</f>
        <v>325183651.061368</v>
      </c>
      <c r="F10" s="18">
        <f>F6*Assumptions!B9</f>
        <v>345719366.8106379</v>
      </c>
    </row>
    <row r="11" spans="1:6" x14ac:dyDescent="0.25">
      <c r="A11" t="s">
        <v>47</v>
      </c>
      <c r="B11" s="18">
        <f>-B6*Assumptions!B10</f>
        <v>-174913697.9488616</v>
      </c>
      <c r="C11" s="18">
        <f>-C6*Assumptions!B10</f>
        <v>-185959696.01797608</v>
      </c>
      <c r="D11" s="18">
        <f>-D6*Assumptions!B10</f>
        <v>-197703261.37183547</v>
      </c>
      <c r="E11" s="18">
        <f>-E6*Assumptions!B10</f>
        <v>-210188446.17428246</v>
      </c>
      <c r="F11" s="18">
        <f>-F6*Assumptions!B10</f>
        <v>-223462084.53318384</v>
      </c>
    </row>
    <row r="12" spans="1:6" x14ac:dyDescent="0.25">
      <c r="A12" t="s">
        <v>48</v>
      </c>
      <c r="B12" s="18">
        <f>-(B6-Assumptions!B29)*Assumptions!B11</f>
        <v>60646739.49009506</v>
      </c>
      <c r="C12" s="18">
        <f>-(C6-B6)*Assumptions!B11</f>
        <v>64476649.75533645</v>
      </c>
      <c r="D12" s="18">
        <f>-(D6-C6)*Assumptions!B11</f>
        <v>68548423.19019137</v>
      </c>
      <c r="E12" s="18">
        <f>-(E6-D6)*Assumptions!B11</f>
        <v>72877333.72766738</v>
      </c>
      <c r="F12" s="18">
        <f>-(F6-E6)*Assumptions!B11</f>
        <v>77479619.86693463</v>
      </c>
    </row>
    <row r="13" spans="1:6" x14ac:dyDescent="0.25">
      <c r="A13" s="19" t="s">
        <v>49</v>
      </c>
      <c r="B13" s="20">
        <f>B9+B10+B11+B12</f>
        <v>1494648155.9056613</v>
      </c>
      <c r="C13" s="20">
        <f>C9+C10+C11+C12</f>
        <v>1589036879.2460501</v>
      </c>
      <c r="D13" s="20">
        <f>D9+D10+D11+D12</f>
        <v>1689386357.3357265</v>
      </c>
      <c r="E13" s="20">
        <f>E9+E10+E11+E12</f>
        <v>1796073018.586091</v>
      </c>
      <c r="F13" s="20">
        <f>F9+F10+F11+F12</f>
        <v>1909497063.2889307</v>
      </c>
    </row>
    <row r="14" spans="1:6" x14ac:dyDescent="0.25">
      <c r="A14" t="s">
        <v>50</v>
      </c>
      <c r="B14" s="21">
        <f>1/(1+Assumptions!$B$26)^(1-0.5*Assumptions!$B$32)</f>
        <v>0.9495225998940494</v>
      </c>
      <c r="C14" s="21">
        <f>1/(1+Assumptions!$B$26)^(2-0.5*Assumptions!$B$32)</f>
        <v>0.8560830886502883</v>
      </c>
      <c r="D14" s="21">
        <f>1/(1+Assumptions!$B$26)^(3-0.5*Assumptions!$B$32)</f>
        <v>0.7718386637187933</v>
      </c>
      <c r="E14" s="21">
        <f>1/(1+Assumptions!$B$26)^(4-0.5*Assumptions!$B$32)</f>
        <v>0.6958844657829367</v>
      </c>
      <c r="F14" s="21">
        <f>1/(1+Assumptions!$B$26)^(5-0.5*Assumptions!$B$32)</f>
        <v>0.6274046798651094</v>
      </c>
    </row>
    <row r="15" spans="1:6" x14ac:dyDescent="0.25">
      <c r="A15" s="19" t="s">
        <v>51</v>
      </c>
      <c r="B15" s="20">
        <f>B13*B14</f>
        <v>1419202202.92239</v>
      </c>
      <c r="C15" s="20">
        <f>C13*C14</f>
        <v>1360347599.5641737</v>
      </c>
      <c r="D15" s="20">
        <f>D13*D14</f>
        <v>1303933708.550767</v>
      </c>
      <c r="E15" s="20">
        <f>E13*E14</f>
        <v>1249859313.0459285</v>
      </c>
      <c r="F15" s="20">
        <f>F13*F14</f>
        <v>1198027393.6961582</v>
      </c>
    </row>
    <row r="17" spans="1:2" x14ac:dyDescent="0.25">
      <c r="A17" s="22" t="s">
        <v>52</v>
      </c>
      <c r="B17" s="23">
        <f>SUM(B15:F15)</f>
        <v>6531370217.779418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1909497063.2889307</v>
      </c>
    </row>
    <row r="5" spans="1:2" x14ac:dyDescent="0.25">
      <c r="A5" t="s">
        <v>56</v>
      </c>
      <c r="B5" s="18">
        <f>IF(Assumptions!$B$33=0,B4,B4-Forecast!F11-Forecast!F10-Forecast!F12)</f>
        <v>1777596615.39461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0.0886210488000204</v>
      </c>
    </row>
    <row r="7" spans="1:2" x14ac:dyDescent="0.25">
      <c r="A7" t="s">
        <v>58</v>
      </c>
      <c r="B7" s="18">
        <f>-MAX(Forecast!F9,0)*B6</f>
        <v>-157532476.39963683</v>
      </c>
    </row>
    <row r="8" spans="1:2" x14ac:dyDescent="0.25">
      <c r="A8" t="s">
        <v>59</v>
      </c>
      <c r="B8" s="18">
        <f>IF(OR(Assumptions!$B$33=0,Assumptions!B12&lt;=0),B5,MAX(B5+B7,0))</f>
        <v>1620064138.9949732</v>
      </c>
    </row>
    <row r="9" spans="1:2" x14ac:dyDescent="0.25">
      <c r="A9" t="s">
        <v>60</v>
      </c>
      <c r="B9" s="18">
        <f>B8*(1+Assumptions!B12)/(Assumptions!B26-Assumptions!B12)</f>
        <v>19733937902.03143</v>
      </c>
    </row>
    <row r="10" spans="1:2" x14ac:dyDescent="0.25">
      <c r="A10" t="s">
        <v>61</v>
      </c>
      <c r="B10" s="18">
        <f>B9/(1+Assumptions!B26)^(5-0.5*Assumptions!B32)</f>
        <v>12381164991.901978</v>
      </c>
    </row>
    <row r="11" spans="1:2" x14ac:dyDescent="0.25">
      <c r="A11" t="s">
        <v>62</v>
      </c>
      <c r="B11" s="18">
        <f>Forecast!B17+B10</f>
        <v>18912535209.681396</v>
      </c>
    </row>
    <row r="12" spans="1:2" x14ac:dyDescent="0.25">
      <c r="A12" t="s">
        <v>63</v>
      </c>
      <c r="B12" s="18">
        <f>-Assumptions!B30</f>
        <v>-2801000000</v>
      </c>
    </row>
    <row r="13" spans="1:2" x14ac:dyDescent="0.25">
      <c r="A13" t="s">
        <v>64</v>
      </c>
      <c r="B13" s="18">
        <f>B11+B12</f>
        <v>16111535209.681396</v>
      </c>
    </row>
    <row r="14" spans="1:2" x14ac:dyDescent="0.25">
      <c r="A14" s="19" t="s">
        <v>65</v>
      </c>
      <c r="B14" s="24">
        <f>B13/Assumptions!B31</f>
        <v>76.64859757222358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2430913241.442671</v>
      </c>
    </row>
    <row r="18" spans="1:2" x14ac:dyDescent="0.25">
      <c r="A18" t="s">
        <v>60</v>
      </c>
      <c r="B18" s="18">
        <f>B17*Assumptions!B13</f>
        <v>29344123124.939556</v>
      </c>
    </row>
    <row r="19" spans="1:2" x14ac:dyDescent="0.25">
      <c r="A19" t="s">
        <v>61</v>
      </c>
      <c r="B19" s="18">
        <f>B18/(1+Assumptions!B26)^(5-0.5*Assumptions!B32)</f>
        <v>18410640175.125057</v>
      </c>
    </row>
    <row r="20" spans="1:2" x14ac:dyDescent="0.25">
      <c r="A20" t="s">
        <v>62</v>
      </c>
      <c r="B20" s="18">
        <f>Forecast!B17+B19</f>
        <v>24942010392.904476</v>
      </c>
    </row>
    <row r="21" spans="1:2" x14ac:dyDescent="0.25">
      <c r="A21" t="s">
        <v>63</v>
      </c>
      <c r="B21" s="18">
        <f>-Assumptions!B30</f>
        <v>-2801000000</v>
      </c>
    </row>
    <row r="22" spans="1:2" x14ac:dyDescent="0.25">
      <c r="A22" t="s">
        <v>64</v>
      </c>
      <c r="B22" s="18">
        <f>B20+B21</f>
        <v>22141010392.904476</v>
      </c>
    </row>
    <row r="23" spans="1:2" x14ac:dyDescent="0.25">
      <c r="A23" s="19" t="s">
        <v>65</v>
      </c>
      <c r="B23" s="25">
        <f>B22/Assumptions!B31</f>
        <v>105.33306561800417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76.64859757222358</v>
      </c>
    </row>
    <row r="29" spans="1:2" x14ac:dyDescent="0.25">
      <c r="A29" s="19" t="s">
        <v>73</v>
      </c>
      <c r="B29" s="12">
        <f>B28/B26-1</f>
        <v>-0.33349045589370796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0.089148</v>
      </c>
      <c r="B5" s="31">
        <v>93.78932573540729</v>
      </c>
      <c r="C5" s="31">
        <v>98.07483032455582</v>
      </c>
      <c r="D5" s="31">
        <v>103.01248926087644</v>
      </c>
      <c r="E5" s="31">
        <v>108.76768962774617</v>
      </c>
      <c r="F5" s="31">
        <v>115.56690556009579</v>
      </c>
    </row>
    <row r="6" spans="1:6" x14ac:dyDescent="0.25">
      <c r="A6" s="30">
        <v>0.099148</v>
      </c>
      <c r="B6" s="31">
        <v>81.55274162853507</v>
      </c>
      <c r="C6" s="31">
        <v>84.60819049520758</v>
      </c>
      <c r="D6" s="31">
        <v>88.06250333326221</v>
      </c>
      <c r="E6" s="31">
        <v>92.00220411404642</v>
      </c>
      <c r="F6" s="31">
        <v>96.54079316712534</v>
      </c>
    </row>
    <row r="7" spans="1:6" x14ac:dyDescent="0.25">
      <c r="A7" s="30">
        <v>0.109148</v>
      </c>
      <c r="B7" s="31">
        <v>71.90610347508934</v>
      </c>
      <c r="C7" s="31">
        <v>74.1494935978661</v>
      </c>
      <c r="D7" s="32">
        <v>76.64830864900293</v>
      </c>
      <c r="E7" s="31">
        <v>79.45095634474544</v>
      </c>
      <c r="F7" s="31">
        <v>82.61890145378706</v>
      </c>
    </row>
    <row r="8" spans="1:6" x14ac:dyDescent="0.25">
      <c r="A8" s="30">
        <v>0.119148</v>
      </c>
      <c r="B8" s="31">
        <v>64.10389853916872</v>
      </c>
      <c r="C8" s="31">
        <v>65.7893090517583</v>
      </c>
      <c r="D8" s="31">
        <v>67.64414352184329</v>
      </c>
      <c r="E8" s="31">
        <v>69.69690914377955</v>
      </c>
      <c r="F8" s="31">
        <v>71.98288860138331</v>
      </c>
    </row>
    <row r="9" spans="1:6" x14ac:dyDescent="0.25">
      <c r="A9" s="30">
        <v>0.129148</v>
      </c>
      <c r="B9" s="31">
        <v>57.66182424986024</v>
      </c>
      <c r="C9" s="31">
        <v>58.95144527230951</v>
      </c>
      <c r="D9" s="31">
        <v>60.356560327439134</v>
      </c>
      <c r="E9" s="31">
        <v>61.894642389895104</v>
      </c>
      <c r="F9" s="31">
        <v>63.586876244377024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8004200000</v>
      </c>
      <c r="C5" s="18">
        <v>7010700000</v>
      </c>
      <c r="D5" s="18">
        <v>6671200000</v>
      </c>
      <c r="E5" s="18">
        <v>6660900000</v>
      </c>
      <c r="F5" s="8" t="s">
        <v>84</v>
      </c>
    </row>
    <row r="6" spans="1:6" x14ac:dyDescent="0.25">
      <c r="A6" t="s">
        <v>44</v>
      </c>
      <c r="B6" s="18">
        <v>1914400000</v>
      </c>
      <c r="C6" s="18">
        <v>1269800000</v>
      </c>
      <c r="D6" s="18">
        <v>1140100000</v>
      </c>
      <c r="E6" s="18">
        <v>1172400000</v>
      </c>
      <c r="F6" s="8" t="s">
        <v>85</v>
      </c>
    </row>
    <row r="7" spans="1:6" x14ac:dyDescent="0.25">
      <c r="A7" t="s">
        <v>86</v>
      </c>
      <c r="B7" s="18">
        <v>217200000</v>
      </c>
      <c r="C7" s="18">
        <v>224900000</v>
      </c>
      <c r="D7" s="18">
        <v>229000000</v>
      </c>
      <c r="E7" s="18">
        <v>224200000</v>
      </c>
      <c r="F7" s="8" t="s">
        <v>87</v>
      </c>
    </row>
    <row r="8" spans="1:6" x14ac:dyDescent="0.25">
      <c r="A8" t="s">
        <v>88</v>
      </c>
      <c r="B8" s="18">
        <v>166000000</v>
      </c>
      <c r="C8" s="18">
        <v>122700000</v>
      </c>
      <c r="D8" s="18">
        <v>108900000</v>
      </c>
      <c r="E8" s="18">
        <v>184200000</v>
      </c>
      <c r="F8" s="8" t="s">
        <v>89</v>
      </c>
    </row>
    <row r="9" spans="1:6" x14ac:dyDescent="0.25">
      <c r="A9" t="s">
        <v>90</v>
      </c>
      <c r="B9" s="18">
        <v>-119200000</v>
      </c>
      <c r="C9" s="18">
        <v>39300000</v>
      </c>
      <c r="D9" s="18">
        <v>-167900000</v>
      </c>
      <c r="E9" s="18">
        <v>258900000</v>
      </c>
      <c r="F9" s="8" t="s">
        <v>91</v>
      </c>
    </row>
    <row r="10" spans="1:6" x14ac:dyDescent="0.25">
      <c r="A10" t="s">
        <v>92</v>
      </c>
      <c r="B10" s="18">
        <v>3953000000</v>
      </c>
      <c r="C10" s="18">
        <v>3899200000</v>
      </c>
      <c r="D10" s="18">
        <v>8764500000</v>
      </c>
      <c r="E10" s="18">
        <v>3292000000</v>
      </c>
      <c r="F10" s="8" t="s">
        <v>93</v>
      </c>
    </row>
    <row r="11" spans="1:6" x14ac:dyDescent="0.25">
      <c r="A11" t="s">
        <v>94</v>
      </c>
      <c r="B11" s="18">
        <v>1152000000</v>
      </c>
      <c r="C11" s="18">
        <v>1119600000</v>
      </c>
      <c r="D11" s="18">
        <v>7203800000</v>
      </c>
      <c r="E11" s="18">
        <v>741500000</v>
      </c>
      <c r="F11" s="8" t="s">
        <v>95</v>
      </c>
    </row>
    <row r="12" spans="1:6" x14ac:dyDescent="0.25">
      <c r="A12" t="s">
        <v>32</v>
      </c>
      <c r="B12" s="34">
        <v>210200000</v>
      </c>
      <c r="C12" s="34">
        <v>222500000</v>
      </c>
      <c r="D12" s="34">
        <v>233200000</v>
      </c>
      <c r="E12" s="34">
        <v>241300000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