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<sst xmlns="http://schemas.openxmlformats.org/spreadsheetml/2006/main" count="118" uniqueCount="106">
  <si>
    <t>Turners Automotive Group Limited (TRA.NZ)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</si>
  <si>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</si>
  <si>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</si>
  <si>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</si>
  <si>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</si>
  <si>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</si>
  <si>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</si>
  <si>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</si>
  <si>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</si>
  <si>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</si>
  <si>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</si>
  <si>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</si>
  <si>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</si>
  <si>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</si>
  <si>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</si>
  <si>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</si>
  <si>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</si>
  <si>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</si>
  <si>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</si>
  <si>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</si>
  <si>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</si>
  <si>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</si>
  <si>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</si>
  <si>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</si>
  <si>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</si>
  <si>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</si>
  <si>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</si>
  <si>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</si>
  <si>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</si>
  <si>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</si>
  <si>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</si>
  <si>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</si>
  <si>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</si>
  <si>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</si>
  <si>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</si>
  <si>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</si>
  <si>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</si>
  <si>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</si>
  <si>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</si>
  <si>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</si>
  <si>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</si>
  <si>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</si>
  <si>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</si>
  <si>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</si>
  <si>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</si>
  <si>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</si>
  <si>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</si>
  <si>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</si>
  <si>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</si>
  <si>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</si>
  <si>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</si>
  <si>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</si>
  <si>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</si>
  <si>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</si>
  <si>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</si>
  <si>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</si>
  <si>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</si>
  <si>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</si>
  <si>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</si>
  <si>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</si>
  <si>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</si>
  <si>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</si>
  <si>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</si>
  <si>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</si>
  <si>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</si>
  <si>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</si>
  <si>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</si>
  <si>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</si>
  <si>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</si>
  <si>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</si>
  <si>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</si>
  <si>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</si>
  <si>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</si>
  <si>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</si>
  <si>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</si>
  <si>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</si>
  <si>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</si>
  <si>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</si>
  <si>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</si>
  <si>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</si>
  <si>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</si>
  <si>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</si>
  <si>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</si>
  <si>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</si>
  <si>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</si>
  <si>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</si>
  <si>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</si>
  <si>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</si>
  <si>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</si>
  <si>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</si>
  <si>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</si>
  <si>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</si>
  <si>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</si>
  <si>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</si>
  <si>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</si>
  <si>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</si>
  <si>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</si>
  <si>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</si>
  <si>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</si>
  <si>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</si>
  <si>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</si>
  <si>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Adjusted: Free cashflow is negative in at least one forecast year, so terminal value carries most of the valuation.</t>
  </si>
  <si>
    <t>Adjusted: Capital expenditure runs at 11.1%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</si>
  <si>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</si>
  <si>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No usable EV/EBITDA (EBITDA is not positive), so the exit multiple falls back to 8x.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</si>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</sst>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-0.10189610615447897</v>
      </c>
    </row>
    <row r="7" spans="1:2" x14ac:dyDescent="0.25">
      <c r="A7" t="s">
        <v>5</v>
      </c>
      <c r="B7" s="6">
        <v>-0.0992828151141075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0.037307702941543834</v>
      </c>
    </row>
    <row r="10" spans="1:2" x14ac:dyDescent="0.25">
      <c r="A10" t="s">
        <v>8</v>
      </c>
      <c r="B10" s="6">
        <v>0.11110282592012974</v>
      </c>
    </row>
    <row r="11" spans="1:2" x14ac:dyDescent="0.25">
      <c r="A11" t="s">
        <v>9</v>
      </c>
      <c r="B11" s="6">
        <v>0.07810322348604055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0.05379182362767433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0.35345</v>
      </c>
      <c r="C19" s="8" t="s">
        <v>19</v>
      </c>
    </row>
    <row r="20" spans="1:2" x14ac:dyDescent="0.25">
      <c r="A20" t="s">
        <v>20</v>
      </c>
      <c r="B20" s="10">
        <f>B17+B19*B18</f>
        <v>0.06797425</v>
      </c>
    </row>
    <row r="21" spans="1:3" x14ac:dyDescent="0.25">
      <c r="A21" t="s">
        <v>21</v>
      </c>
      <c r="B21" s="6">
        <v>0.0522387643011225</v>
      </c>
      <c r="C21" s="8" t="s">
        <v>22</v>
      </c>
    </row>
    <row r="22" spans="1:2" x14ac:dyDescent="0.25">
      <c r="A22" t="s">
        <v>23</v>
      </c>
      <c r="B22" s="11">
        <v>691792000</v>
      </c>
    </row>
    <row r="23" spans="1:2" x14ac:dyDescent="0.25">
      <c r="A23" t="s">
        <v>24</v>
      </c>
      <c r="B23" s="11">
        <v>606387000</v>
      </c>
    </row>
    <row r="24" spans="1:2" x14ac:dyDescent="0.25">
      <c r="A24" t="s">
        <v>25</v>
      </c>
      <c r="B24" s="10">
        <f>B22/(B22+B23)</f>
        <v>0.5328941540419311</v>
      </c>
    </row>
    <row r="25" spans="1:2" x14ac:dyDescent="0.25">
      <c r="A25" t="s">
        <v>26</v>
      </c>
      <c r="B25" s="10">
        <f>1-B24</f>
        <v>0.4671058459580689</v>
      </c>
    </row>
    <row r="26" spans="1:2" x14ac:dyDescent="0.25">
      <c r="A26" t="s">
        <v>27</v>
      </c>
      <c r="B26" s="12">
        <f>B24*B20+B25*B21*(1-B8)</f>
        <v>0.05379182362767433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281812000</v>
      </c>
      <c r="C29" s="8" t="s">
        <v>30</v>
      </c>
    </row>
    <row r="30" spans="1:2" x14ac:dyDescent="0.25">
      <c r="A30" t="s">
        <v>31</v>
      </c>
      <c r="B30" s="11">
        <v>501465000</v>
      </c>
    </row>
    <row r="31" spans="1:2" x14ac:dyDescent="0.25">
      <c r="A31" t="s">
        <v>32</v>
      </c>
      <c r="B31" s="13">
        <v>90562278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-0.10189610615447897</v>
      </c>
      <c r="C5" s="10">
        <f>Assumptions!B6</f>
        <v>-0.10189610615447897</v>
      </c>
      <c r="D5" s="10">
        <f>Assumptions!B6</f>
        <v>-0.10189610615447897</v>
      </c>
      <c r="E5" s="10">
        <f>Assumptions!B6</f>
        <v>-0.10189610615447897</v>
      </c>
      <c r="F5" s="10">
        <f>Assumptions!B6</f>
        <v>-0.10189610615447897</v>
      </c>
    </row>
    <row r="6" spans="1:6" x14ac:dyDescent="0.25">
      <c r="A6" t="s">
        <v>43</v>
      </c>
      <c r="B6" s="18">
        <f>Assumptions!B29*(1+B5)</f>
        <v>253096454.53239396</v>
      </c>
      <c r="C6" s="18">
        <f>B6*(1+C5)</f>
        <v>227306911.33403888</v>
      </c>
      <c r="D6" s="18">
        <f>C6*(1+D5)</f>
        <v>204145222.1670989</v>
      </c>
      <c r="E6" s="18">
        <f>D6*(1+E5)</f>
        <v>183343618.9382305</v>
      </c>
      <c r="F6" s="18">
        <f>E6*(1+F5)</f>
        <v>164661618.08015424</v>
      </c>
    </row>
    <row r="7" spans="1:6" x14ac:dyDescent="0.25">
      <c r="A7" t="s">
        <v>5</v>
      </c>
      <c r="B7" s="10">
        <f>Assumptions!B7</f>
        <v>-0.0992828151141075</v>
      </c>
      <c r="C7" s="10">
        <f>Assumptions!B7</f>
        <v>-0.0992828151141075</v>
      </c>
      <c r="D7" s="10">
        <f>Assumptions!B7</f>
        <v>-0.0992828151141075</v>
      </c>
      <c r="E7" s="10">
        <f>Assumptions!B7</f>
        <v>-0.0992828151141075</v>
      </c>
      <c r="F7" s="10">
        <f>Assumptions!B7</f>
        <v>-0.0992828151141075</v>
      </c>
    </row>
    <row r="8" spans="1:6" x14ac:dyDescent="0.25">
      <c r="A8" t="s">
        <v>44</v>
      </c>
      <c r="B8" s="18">
        <f>B6*B7</f>
        <v>-25128128.501375783</v>
      </c>
      <c r="C8" s="18">
        <f>C6*C7</f>
        <v>-22567670.05213621</v>
      </c>
      <c r="D8" s="18">
        <f>D6*D7</f>
        <v>-20268112.34884448</v>
      </c>
      <c r="E8" s="18">
        <f>E6*E7</f>
        <v>-18202870.62139572</v>
      </c>
      <c r="F8" s="18">
        <f>F6*F7</f>
        <v>-16348068.984241733</v>
      </c>
    </row>
    <row r="9" spans="1:6" x14ac:dyDescent="0.25">
      <c r="A9" t="s">
        <v>45</v>
      </c>
      <c r="B9" s="18">
        <f>B8*(1-Assumptions!B8)</f>
        <v>-18092252.52099056</v>
      </c>
      <c r="C9" s="18">
        <f>C8*(1-Assumptions!B8)</f>
        <v>-16248722.43753807</v>
      </c>
      <c r="D9" s="18">
        <f>D8*(1-Assumptions!B8)</f>
        <v>-14593040.891168024</v>
      </c>
      <c r="E9" s="18">
        <f>E8*(1-Assumptions!B8)</f>
        <v>-13106066.847404916</v>
      </c>
      <c r="F9" s="18">
        <f>F8*(1-Assumptions!B8)</f>
        <v>-11770609.668654047</v>
      </c>
    </row>
    <row r="10" spans="1:6" x14ac:dyDescent="0.25">
      <c r="A10" t="s">
        <v>46</v>
      </c>
      <c r="B10" s="18">
        <f>B6*Assumptions!B9</f>
        <v>9442447.34125251</v>
      </c>
      <c r="C10" s="18">
        <f>C6*Assumptions!B9</f>
        <v>8480298.724610167</v>
      </c>
      <c r="D10" s="18">
        <f>D6*Assumptions!B9</f>
        <v>7616189.3055455955</v>
      </c>
      <c r="E10" s="18">
        <f>E6*Assumptions!B9</f>
        <v>6840129.271575115</v>
      </c>
      <c r="F10" s="18">
        <f>F6*Assumptions!B9</f>
        <v>6143146.733208338</v>
      </c>
    </row>
    <row r="11" spans="1:6" x14ac:dyDescent="0.25">
      <c r="A11" t="s">
        <v>47</v>
      </c>
      <c r="B11" s="18">
        <f>-B6*Assumptions!B10</f>
        <v>-28119731.328914598</v>
      </c>
      <c r="C11" s="18">
        <f>-C6*Assumptions!B10</f>
        <v>-25254440.20038809</v>
      </c>
      <c r="D11" s="18">
        <f>-D6*Assumptions!B10</f>
        <v>-22681111.0808574</v>
      </c>
      <c r="E11" s="18">
        <f>-E6*Assumptions!B10</f>
        <v>-20369994.178460825</v>
      </c>
      <c r="F11" s="18">
        <f>-F6*Assumptions!B10</f>
        <v>-18294371.089286264</v>
      </c>
    </row>
    <row r="12" spans="1:6" x14ac:dyDescent="0.25">
      <c r="A12" t="s">
        <v>48</v>
      </c>
      <c r="B12" s="18">
        <f>-(B6-Assumptions!B29)*Assumptions!B11</f>
        <v>2242776.6651799935</v>
      </c>
      <c r="C12" s="18">
        <f>-(C6-B6)*Assumptions!B11</f>
        <v>2014246.4560240237</v>
      </c>
      <c r="D12" s="18">
        <f>-(D6-C6)*Assumptions!B11</f>
        <v>1809002.5853197172</v>
      </c>
      <c r="E12" s="18">
        <f>-(E6-D6)*Assumptions!B11</f>
        <v>1624672.265852251</v>
      </c>
      <c r="F12" s="18">
        <f>-(F6-E6)*Assumptions!B11</f>
        <v>1459124.4881847326</v>
      </c>
    </row>
    <row r="13" spans="1:6" x14ac:dyDescent="0.25">
      <c r="A13" s="19" t="s">
        <v>49</v>
      </c>
      <c r="B13" s="20">
        <f>B9+B10+B11+B12</f>
        <v>-34526759.84347266</v>
      </c>
      <c r="C13" s="20">
        <f>C9+C10+C11+C12</f>
        <v>-31008617.45729197</v>
      </c>
      <c r="D13" s="20">
        <f>D9+D10+D11+D12</f>
        <v>-27848960.081160113</v>
      </c>
      <c r="E13" s="20">
        <f>E9+E10+E11+E12</f>
        <v>-25011259.488438375</v>
      </c>
      <c r="F13" s="20">
        <f>F9+F10+F11+F12</f>
        <v>-22462709.53654724</v>
      </c>
    </row>
    <row r="14" spans="1:6" x14ac:dyDescent="0.25">
      <c r="A14" t="s">
        <v>50</v>
      </c>
      <c r="B14" s="21">
        <f>1/(1+Assumptions!$B$26)^(1-0.5*Assumptions!$B$32)</f>
        <v>0.9741427164824503</v>
      </c>
      <c r="C14" s="21">
        <f>1/(1+Assumptions!$B$26)^(2-0.5*Assumptions!$B$32)</f>
        <v>0.9244166586233017</v>
      </c>
      <c r="D14" s="21">
        <f>1/(1+Assumptions!$B$26)^(3-0.5*Assumptions!$B$32)</f>
        <v>0.8772289155186275</v>
      </c>
      <c r="E14" s="21">
        <f>1/(1+Assumptions!$B$26)^(4-0.5*Assumptions!$B$32)</f>
        <v>0.8324499164348895</v>
      </c>
      <c r="F14" s="21">
        <f>1/(1+Assumptions!$B$26)^(5-0.5*Assumptions!$B$32)</f>
        <v>0.7899567047020576</v>
      </c>
    </row>
    <row r="15" spans="1:6" x14ac:dyDescent="0.25">
      <c r="A15" s="19" t="s">
        <v>51</v>
      </c>
      <c r="B15" s="20">
        <f>B13*B14</f>
        <v>-33633991.62525764</v>
      </c>
      <c r="C15" s="20">
        <f>C13*C14</f>
        <v>-28664882.538398024</v>
      </c>
      <c r="D15" s="20">
        <f>D13*D14</f>
        <v>-24429913.050317634</v>
      </c>
      <c r="E15" s="20">
        <f>E13*E14</f>
        <v>-20820620.871081863</v>
      </c>
      <c r="F15" s="20">
        <f>F13*F14</f>
        <v>-17744568.00417034</v>
      </c>
    </row>
    <row r="17" spans="1:2" x14ac:dyDescent="0.25">
      <c r="A17" s="22" t="s">
        <v>52</v>
      </c>
      <c r="B17" s="23">
        <f>SUM(B15:F15)</f>
        <v>-125293976.0892255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-22462709.53654724</v>
      </c>
    </row>
    <row r="5" spans="1:2" x14ac:dyDescent="0.25">
      <c r="A5" t="s">
        <v>56</v>
      </c>
      <c r="B5" s="18">
        <f>IF(Assumptions!$B$33=0,B4,B4-Forecast!F11-Forecast!F10-Forecast!F12)</f>
        <v>-11770609.668654047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0.464754646970887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-125293976.0892255</v>
      </c>
    </row>
    <row r="12" spans="1:2" x14ac:dyDescent="0.25">
      <c r="A12" t="s">
        <v>63</v>
      </c>
      <c r="B12" s="18">
        <f>-Assumptions!B30</f>
        <v>-501465000</v>
      </c>
    </row>
    <row r="13" spans="1:2" x14ac:dyDescent="0.25">
      <c r="A13" t="s">
        <v>64</v>
      </c>
      <c r="B13" s="18">
        <f>B11+B12</f>
        <v>-626758976.0892255</v>
      </c>
    </row>
    <row r="14" spans="1:2" x14ac:dyDescent="0.25">
      <c r="A14" s="19" t="s">
        <v>65</v>
      </c>
      <c r="B14" s="24">
        <f>B13/Assumptions!B31</f>
        <v>-6.920751000645385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-10204922.251033396</v>
      </c>
    </row>
    <row r="18" spans="1:2" x14ac:dyDescent="0.25">
      <c r="A18" t="s">
        <v>60</v>
      </c>
      <c r="B18" s="18">
        <f>B17*Assumptions!B13</f>
        <v>-81639378.00826716</v>
      </c>
    </row>
    <row r="19" spans="1:2" x14ac:dyDescent="0.25">
      <c r="A19" t="s">
        <v>61</v>
      </c>
      <c r="B19" s="18">
        <f>B18/(1+Assumptions!B26)^(5-0.5*Assumptions!B32)</f>
        <v>-64491574.025336355</v>
      </c>
    </row>
    <row r="20" spans="1:2" x14ac:dyDescent="0.25">
      <c r="A20" t="s">
        <v>62</v>
      </c>
      <c r="B20" s="18">
        <f>Forecast!B17+B19</f>
        <v>-189785550.11456186</v>
      </c>
    </row>
    <row r="21" spans="1:2" x14ac:dyDescent="0.25">
      <c r="A21" t="s">
        <v>63</v>
      </c>
      <c r="B21" s="18">
        <f>-Assumptions!B30</f>
        <v>-501464999.99999994</v>
      </c>
    </row>
    <row r="22" spans="1:2" x14ac:dyDescent="0.25">
      <c r="A22" t="s">
        <v>64</v>
      </c>
      <c r="B22" s="18">
        <f>B20+B21</f>
        <v>-691250550.1145618</v>
      </c>
    </row>
    <row r="23" spans="1:2" x14ac:dyDescent="0.25">
      <c r="A23" s="19" t="s">
        <v>65</v>
      </c>
      <c r="B23" s="25">
        <f>B22/Assumptions!B31</f>
        <v>-7.632875026780596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-6.920751000645385</v>
      </c>
    </row>
    <row r="29" spans="1:2" x14ac:dyDescent="0.25">
      <c r="A29" s="19" t="s">
        <v>73</v>
      </c>
      <c r="B29" s="12">
        <f>B28/B26-1</f>
        <v>-1.9106251316638665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0.033792</v>
      </c>
      <c r="B5" s="31">
        <v>-6.980384436026624</v>
      </c>
      <c r="C5" s="31">
        <v>-6.980384436026624</v>
      </c>
      <c r="D5" s="31">
        <v>-6.980384436026624</v>
      </c>
      <c r="E5" s="31">
        <v>-6.980384436026624</v>
      </c>
      <c r="F5" s="31" t="s">
        <v>76</v>
      </c>
    </row>
    <row r="6" spans="1:6" x14ac:dyDescent="0.25">
      <c r="A6" s="30">
        <v>0.043792</v>
      </c>
      <c r="B6" s="31">
        <v>-6.949984139001247</v>
      </c>
      <c r="C6" s="31">
        <v>-6.949984139001247</v>
      </c>
      <c r="D6" s="31">
        <v>-6.949984139001247</v>
      </c>
      <c r="E6" s="31">
        <v>-6.949984139001247</v>
      </c>
      <c r="F6" s="31">
        <v>-6.949984139001247</v>
      </c>
    </row>
    <row r="7" spans="1:6" x14ac:dyDescent="0.25">
      <c r="A7" s="30">
        <v>0.053792</v>
      </c>
      <c r="B7" s="31">
        <v>-6.920750494980257</v>
      </c>
      <c r="C7" s="31">
        <v>-6.920750494980257</v>
      </c>
      <c r="D7" s="32">
        <v>-6.920750494980257</v>
      </c>
      <c r="E7" s="31">
        <v>-6.920750494980257</v>
      </c>
      <c r="F7" s="31">
        <v>-6.920750494980257</v>
      </c>
    </row>
    <row r="8" spans="1:6" x14ac:dyDescent="0.25">
      <c r="A8" s="30">
        <v>0.063792</v>
      </c>
      <c r="B8" s="31">
        <v>-6.892624452165129</v>
      </c>
      <c r="C8" s="31">
        <v>-6.892624452165129</v>
      </c>
      <c r="D8" s="31">
        <v>-6.892624452165129</v>
      </c>
      <c r="E8" s="31">
        <v>-6.892624452165129</v>
      </c>
      <c r="F8" s="31">
        <v>-6.892624452165129</v>
      </c>
    </row>
    <row r="9" spans="1:6" x14ac:dyDescent="0.25">
      <c r="A9" s="30">
        <v>0.073792</v>
      </c>
      <c r="B9" s="31">
        <v>-6.86555057448142</v>
      </c>
      <c r="C9" s="31">
        <v>-6.86555057448142</v>
      </c>
      <c r="D9" s="31">
        <v>-6.86555057448142</v>
      </c>
      <c r="E9" s="31">
        <v>-6.86555057448142</v>
      </c>
      <c r="F9" s="31">
        <v>-6.86555057448142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281812000</v>
      </c>
      <c r="C5" s="18">
        <v>255481000</v>
      </c>
      <c r="D5" s="18">
        <v>344453000</v>
      </c>
      <c r="E5" s="18">
        <v>389027000</v>
      </c>
      <c r="F5" s="8" t="s">
        <v>85</v>
      </c>
    </row>
    <row r="6" spans="1:6" x14ac:dyDescent="0.25">
      <c r="A6" t="s">
        <v>44</v>
      </c>
      <c r="B6" s="18">
        <v>-77881000</v>
      </c>
      <c r="C6" s="18">
        <v>-76769000</v>
      </c>
      <c r="D6" s="18">
        <v>4466000</v>
      </c>
      <c r="E6" s="18">
        <v>64870000</v>
      </c>
      <c r="F6" s="8" t="s">
        <v>86</v>
      </c>
    </row>
    <row r="7" spans="1:6" x14ac:dyDescent="0.25">
      <c r="A7" t="s">
        <v>87</v>
      </c>
      <c r="B7" s="18">
        <v>11097000</v>
      </c>
      <c r="C7" s="18">
        <v>11651000</v>
      </c>
      <c r="D7" s="18">
        <v>11968000</v>
      </c>
      <c r="E7" s="18">
        <v>11478000</v>
      </c>
      <c r="F7" s="8" t="s">
        <v>88</v>
      </c>
    </row>
    <row r="8" spans="1:6" x14ac:dyDescent="0.25">
      <c r="A8" t="s">
        <v>89</v>
      </c>
      <c r="B8" s="18">
        <v>41700000</v>
      </c>
      <c r="C8" s="18">
        <v>32897000</v>
      </c>
      <c r="D8" s="18">
        <v>18641000</v>
      </c>
      <c r="E8" s="18">
        <v>44177000</v>
      </c>
      <c r="F8" s="8" t="s">
        <v>90</v>
      </c>
    </row>
    <row r="9" spans="1:6" x14ac:dyDescent="0.25">
      <c r="A9" t="s">
        <v>91</v>
      </c>
      <c r="B9" s="18">
        <v>7478000</v>
      </c>
      <c r="C9" s="18">
        <v>-6949000</v>
      </c>
      <c r="D9" s="18">
        <v>-1067000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606387000</v>
      </c>
      <c r="C10" s="18">
        <v>468179000</v>
      </c>
      <c r="D10" s="18">
        <v>450242000</v>
      </c>
      <c r="E10" s="18">
        <v>439155000</v>
      </c>
      <c r="F10" s="8" t="s">
        <v>94</v>
      </c>
    </row>
    <row r="11" spans="1:6" x14ac:dyDescent="0.25">
      <c r="A11" t="s">
        <v>95</v>
      </c>
      <c r="B11" s="18">
        <v>104922000</v>
      </c>
      <c r="C11" s="18">
        <v>102502000</v>
      </c>
      <c r="D11" s="18">
        <v>87238000</v>
      </c>
      <c r="E11" s="18">
        <v>78805000</v>
      </c>
      <c r="F11" s="8" t="s">
        <v>96</v>
      </c>
    </row>
    <row r="12" spans="1:6" x14ac:dyDescent="0.25">
      <c r="A12" t="s">
        <v>32</v>
      </c>
      <c r="B12" s="34">
        <v>90562278</v>
      </c>
      <c r="C12" s="34">
        <v>89074331</v>
      </c>
      <c r="D12" s="34">
        <v>87652220</v>
      </c>
      <c r="E12" s="34">
        <v>86450757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54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1" ht="22" customHeight="1" spans="1:6" x14ac:dyDescent="0.25">
      <c r="A21" s="35" t="s">
        <v>104</v>
      </c>
      <c r="B21" s="35"/>
      <c r="C21" s="35"/>
      <c r="D21" s="35"/>
      <c r="E21" s="35"/>
      <c r="F21" s="35"/>
    </row>
    <row r="23" spans="1:1" x14ac:dyDescent="0.25">
      <c r="A23" s="36" t="s">
        <v>105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