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<sst xmlns="http://schemas.openxmlformats.org/spreadsheetml/2006/main" count="113" uniqueCount="101">
  <si>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Targa Resources Corp. (TRGP)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</si>
  <si>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</si>
  <si>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</si>
  <si>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</si>
  <si>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</si>
  <si>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</si>
  <si>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</si>
  <si>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</si>
  <si>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</si>
  <si>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</si>
  <si>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</si>
  <si>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</si>
  <si>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</si>
  <si>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</si>
  <si>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</si>
  <si>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</si>
  <si>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</si>
  <si>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</si>
  <si>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</si>
  <si>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</si>
  <si>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</si>
  <si>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</si>
  <si>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</si>
  <si>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</si>
  <si>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</si>
  <si>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</si>
  <si>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</si>
  <si>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</si>
  <si>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</si>
  <si>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</si>
  <si>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</si>
  <si>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</si>
  <si>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</si>
  <si>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</si>
  <si>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</si>
  <si>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</si>
  <si>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</si>
  <si>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</si>
  <si>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</si>
  <si>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</si>
  <si>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</si>
  <si>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</si>
  <si>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</si>
  <si>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</si>
  <si>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</si>
  <si>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</si>
  <si>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</si>
  <si>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</si>
  <si>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</si>
  <si>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</si>
  <si>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</si>
  <si>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</si>
  <si>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</si>
  <si>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</si>
  <si>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</si>
  <si>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</si>
  <si>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</si>
  <si>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</si>
  <si>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</si>
  <si>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</si>
  <si>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</si>
  <si>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</si>
  <si>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</si>
  <si>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</si>
  <si>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</si>
  <si>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</si>
  <si>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</si>
  <si>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</si>
  <si>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</si>
  <si>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</si>
  <si>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</si>
  <si>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</si>
  <si>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</si>
  <si>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</si>
  <si>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</si>
  <si>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</si>
  <si>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</si>
  <si>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</si>
  <si>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</si>
  <si>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</si>
  <si>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</si>
  <si>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</si>
  <si>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</si>
  <si>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</si>
  <si>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</si>
  <si>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</si>
  <si>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</si>
  <si>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</si>
  <si>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</si>
  <si>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</si>
  <si>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</si>
  <si>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</si>
  <si>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</si>
  <si>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</si>
  <si>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</si>
  <si>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</si>
  <si>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</si>
  <si>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</si>
  <si>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3.7%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</si>
  <si>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Capital expenditure runs at 14.7% of revenue against depreciation of 7.8%.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</si>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</sst>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-0.06645468273311061</v>
      </c>
    </row>
    <row r="7" spans="1:2" x14ac:dyDescent="0.25">
      <c r="A7" t="s">
        <v>5</v>
      </c>
      <c r="B7" s="6">
        <v>0.15157431513926956</v>
      </c>
    </row>
    <row r="8" spans="1:2" x14ac:dyDescent="0.25">
      <c r="A8" t="s">
        <v>6</v>
      </c>
      <c r="B8" s="6">
        <v>0.1926879798861223</v>
      </c>
    </row>
    <row r="9" spans="1:2" x14ac:dyDescent="0.25">
      <c r="A9" t="s">
        <v>7</v>
      </c>
      <c r="B9" s="6">
        <v>0.07775173954465518</v>
      </c>
    </row>
    <row r="10" spans="1:2" x14ac:dyDescent="0.25">
      <c r="A10" t="s">
        <v>8</v>
      </c>
      <c r="B10" s="6">
        <v>0.1472688094255376</v>
      </c>
    </row>
    <row r="11" spans="1:2" x14ac:dyDescent="0.25">
      <c r="A11" t="s">
        <v>9</v>
      </c>
      <c r="B11" s="6">
        <v>0.02858609713522949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16.508924639224183</v>
      </c>
    </row>
    <row r="14" spans="1:3" x14ac:dyDescent="0.25">
      <c r="A14" t="s">
        <v>12</v>
      </c>
      <c r="B14" s="6">
        <v>0.13280750911946393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0.8137399999999999</v>
      </c>
      <c r="C19" s="8" t="s">
        <v>19</v>
      </c>
    </row>
    <row r="20" spans="1:2" x14ac:dyDescent="0.25">
      <c r="A20" t="s">
        <v>20</v>
      </c>
      <c r="B20" s="10">
        <f>B17+B19*B18</f>
        <v>0.0947357</v>
      </c>
    </row>
    <row r="21" spans="1:3" x14ac:dyDescent="0.25">
      <c r="A21" t="s">
        <v>21</v>
      </c>
      <c r="B21" s="6">
        <v>0.05365715544090351</v>
      </c>
      <c r="C21" s="8" t="s">
        <v>22</v>
      </c>
    </row>
    <row r="22" spans="1:2" x14ac:dyDescent="0.25">
      <c r="A22" t="s">
        <v>23</v>
      </c>
      <c r="B22" s="11">
        <v>62654603264</v>
      </c>
    </row>
    <row r="23" spans="1:2" x14ac:dyDescent="0.25">
      <c r="A23" t="s">
        <v>24</v>
      </c>
      <c r="B23" s="11">
        <v>17522000000</v>
      </c>
    </row>
    <row r="24" spans="1:2" x14ac:dyDescent="0.25">
      <c r="A24" t="s">
        <v>25</v>
      </c>
      <c r="B24" s="10">
        <f>B22/(B22+B23)</f>
        <v>0.7814574416141731</v>
      </c>
    </row>
    <row r="25" spans="1:2" x14ac:dyDescent="0.25">
      <c r="A25" t="s">
        <v>26</v>
      </c>
      <c r="B25" s="10">
        <f>1-B24</f>
        <v>0.21854255838582692</v>
      </c>
    </row>
    <row r="26" spans="1:2" x14ac:dyDescent="0.25">
      <c r="A26" t="s">
        <v>27</v>
      </c>
      <c r="B26" s="12">
        <f>B24*B20+B25*B21*(1-B8)</f>
        <v>0.08349875884025183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17028300000</v>
      </c>
      <c r="C29" s="8" t="s">
        <v>30</v>
      </c>
    </row>
    <row r="30" spans="1:2" x14ac:dyDescent="0.25">
      <c r="A30" t="s">
        <v>31</v>
      </c>
      <c r="B30" s="11">
        <v>17355900000</v>
      </c>
    </row>
    <row r="31" spans="1:2" x14ac:dyDescent="0.25">
      <c r="A31" t="s">
        <v>32</v>
      </c>
      <c r="B31" s="13">
        <v>214662156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-0.06645468273311061</v>
      </c>
      <c r="C5" s="10">
        <f>Assumptions!B6</f>
        <v>-0.06645468273311061</v>
      </c>
      <c r="D5" s="10">
        <f>Assumptions!B6</f>
        <v>-0.06645468273311061</v>
      </c>
      <c r="E5" s="10">
        <f>Assumptions!B6</f>
        <v>-0.06645468273311061</v>
      </c>
      <c r="F5" s="10">
        <f>Assumptions!B6</f>
        <v>-0.06645468273311061</v>
      </c>
    </row>
    <row r="6" spans="1:6" x14ac:dyDescent="0.25">
      <c r="A6" t="s">
        <v>43</v>
      </c>
      <c r="B6" s="18">
        <f>Assumptions!B29*(1+B5)</f>
        <v>15896689726.015772</v>
      </c>
      <c r="C6" s="18">
        <f>B6*(1+C5)</f>
        <v>14840280253.766695</v>
      </c>
      <c r="D6" s="18">
        <f>C6*(1+D5)</f>
        <v>13854074137.832184</v>
      </c>
      <c r="E6" s="18">
        <f>D6*(1+E5)</f>
        <v>12933406036.441553</v>
      </c>
      <c r="F6" s="18">
        <f>E6*(1+F5)</f>
        <v>12073920641.631332</v>
      </c>
    </row>
    <row r="7" spans="1:6" x14ac:dyDescent="0.25">
      <c r="A7" t="s">
        <v>5</v>
      </c>
      <c r="B7" s="10">
        <f>Assumptions!B7</f>
        <v>0.15157431513926956</v>
      </c>
      <c r="C7" s="10">
        <f>Assumptions!B7</f>
        <v>0.15157431513926956</v>
      </c>
      <c r="D7" s="10">
        <f>Assumptions!B7</f>
        <v>0.15157431513926956</v>
      </c>
      <c r="E7" s="10">
        <f>Assumptions!B7</f>
        <v>0.15157431513926956</v>
      </c>
      <c r="F7" s="10">
        <f>Assumptions!B7</f>
        <v>0.15157431513926956</v>
      </c>
    </row>
    <row r="8" spans="1:6" x14ac:dyDescent="0.25">
      <c r="A8" t="s">
        <v>44</v>
      </c>
      <c r="B8" s="18">
        <f>B6*B7</f>
        <v>2409529858.2023034</v>
      </c>
      <c r="C8" s="18">
        <f>C6*C7</f>
        <v>2249405315.9395123</v>
      </c>
      <c r="D8" s="18">
        <f>D6*D7</f>
        <v>2099921799.3305795</v>
      </c>
      <c r="E8" s="18">
        <f>E6*E7</f>
        <v>1960372162.3917232</v>
      </c>
      <c r="F8" s="18">
        <f>F6*F7</f>
        <v>1830096252.3011591</v>
      </c>
    </row>
    <row r="9" spans="1:6" x14ac:dyDescent="0.25">
      <c r="A9" t="s">
        <v>45</v>
      </c>
      <c r="B9" s="18">
        <f>B8*(1-Assumptions!B8)</f>
        <v>1945242417.3500068</v>
      </c>
      <c r="C9" s="18">
        <f>C8*(1-Assumptions!B8)</f>
        <v>1815971949.666023</v>
      </c>
      <c r="D9" s="18">
        <f>D8*(1-Assumptions!B8)</f>
        <v>1695292109.898739</v>
      </c>
      <c r="E9" s="18">
        <f>E8*(1-Assumptions!B8)</f>
        <v>1582632010.5954728</v>
      </c>
      <c r="F9" s="18">
        <f>F8*(1-Assumptions!B8)</f>
        <v>1477458702.4480855</v>
      </c>
    </row>
    <row r="10" spans="1:6" x14ac:dyDescent="0.25">
      <c r="A10" t="s">
        <v>46</v>
      </c>
      <c r="B10" s="18">
        <f>B6*Assumptions!B9</f>
        <v>1235995279.1993742</v>
      </c>
      <c r="C10" s="18">
        <f>C6*Assumptions!B9</f>
        <v>1153857605.0605574</v>
      </c>
      <c r="D10" s="18">
        <f>D6*Assumptions!B9</f>
        <v>1077178363.9970713</v>
      </c>
      <c r="E10" s="18">
        <f>E6*Assumptions!B9</f>
        <v>1005594817.5706748</v>
      </c>
      <c r="F10" s="18">
        <f>F6*Assumptions!B9</f>
        <v>938768333.0109553</v>
      </c>
    </row>
    <row r="11" spans="1:6" x14ac:dyDescent="0.25">
      <c r="A11" t="s">
        <v>47</v>
      </c>
      <c r="B11" s="18">
        <f>-B6*Assumptions!B10</f>
        <v>-2341086569.7575183</v>
      </c>
      <c r="C11" s="18">
        <f>-C6*Assumptions!B10</f>
        <v>-2185510404.5135365</v>
      </c>
      <c r="D11" s="18">
        <f>-D6*Assumptions!B10</f>
        <v>-2040273003.971677</v>
      </c>
      <c r="E11" s="18">
        <f>-E6*Assumptions!B10</f>
        <v>-1904687308.8038087</v>
      </c>
      <c r="F11" s="18">
        <f>-F6*Assumptions!B10</f>
        <v>-1778111917.9914694</v>
      </c>
    </row>
    <row r="12" spans="1:6" x14ac:dyDescent="0.25">
      <c r="A12" t="s">
        <v>48</v>
      </c>
      <c r="B12" s="18">
        <f>-(B6-Assumptions!B29)*Assumptions!B11</f>
        <v>32348321.2113368</v>
      </c>
      <c r="C12" s="18">
        <f>-(C6-B6)*Assumptions!B11</f>
        <v>30198623.78828863</v>
      </c>
      <c r="D12" s="18">
        <f>-(D6-C6)*Assumptions!B11</f>
        <v>28191783.82546133</v>
      </c>
      <c r="E12" s="18">
        <f>-(E6-D6)*Assumptions!B11</f>
        <v>26318307.77565988</v>
      </c>
      <c r="F12" s="18">
        <f>-(F6-E6)*Assumptions!B11</f>
        <v>24569332.982356038</v>
      </c>
    </row>
    <row r="13" spans="1:6" x14ac:dyDescent="0.25">
      <c r="A13" s="19" t="s">
        <v>49</v>
      </c>
      <c r="B13" s="20">
        <f>B9+B10+B11+B12</f>
        <v>872499448.0031998</v>
      </c>
      <c r="C13" s="20">
        <f>C9+C10+C11+C12</f>
        <v>814517774.0013328</v>
      </c>
      <c r="D13" s="20">
        <f>D9+D10+D11+D12</f>
        <v>760389253.7495944</v>
      </c>
      <c r="E13" s="20">
        <f>E9+E10+E11+E12</f>
        <v>709857827.1379989</v>
      </c>
      <c r="F13" s="20">
        <f>F9+F10+F11+F12</f>
        <v>662684450.4499273</v>
      </c>
    </row>
    <row r="14" spans="1:6" x14ac:dyDescent="0.25">
      <c r="A14" t="s">
        <v>50</v>
      </c>
      <c r="B14" s="21">
        <f>1/(1+Assumptions!$B$26)^(1-0.5*Assumptions!$B$32)</f>
        <v>0.9606955762984114</v>
      </c>
      <c r="C14" s="21">
        <f>1/(1+Assumptions!$B$26)^(2-0.5*Assumptions!$B$32)</f>
        <v>0.8866605231063801</v>
      </c>
      <c r="D14" s="21">
        <f>1/(1+Assumptions!$B$26)^(3-0.5*Assumptions!$B$32)</f>
        <v>0.8183309079702481</v>
      </c>
      <c r="E14" s="21">
        <f>1/(1+Assumptions!$B$26)^(4-0.5*Assumptions!$B$32)</f>
        <v>0.7552670469564429</v>
      </c>
      <c r="F14" s="21">
        <f>1/(1+Assumptions!$B$26)^(5-0.5*Assumptions!$B$32)</f>
        <v>0.6970631399383056</v>
      </c>
    </row>
    <row r="15" spans="1:6" x14ac:dyDescent="0.25">
      <c r="A15" s="19" t="s">
        <v>51</v>
      </c>
      <c r="B15" s="20">
        <f>B13*B14</f>
        <v>838206360.0194799</v>
      </c>
      <c r="C15" s="20">
        <f>C13*C14</f>
        <v>722200755.575466</v>
      </c>
      <c r="D15" s="20">
        <f>D13*D14</f>
        <v>622250028.431725</v>
      </c>
      <c r="E15" s="20">
        <f>E13*E14</f>
        <v>536132224.86143357</v>
      </c>
      <c r="F15" s="20">
        <f>F13*F14</f>
        <v>461932903.81891686</v>
      </c>
    </row>
    <row r="17" spans="1:2" x14ac:dyDescent="0.25">
      <c r="A17" s="22" t="s">
        <v>52</v>
      </c>
      <c r="B17" s="23">
        <f>SUM(B15:F15)</f>
        <v>3180722272.707021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662684450.4499273</v>
      </c>
    </row>
    <row r="5" spans="1:2" x14ac:dyDescent="0.25">
      <c r="A5" t="s">
        <v>56</v>
      </c>
      <c r="B5" s="18">
        <f>IF(Assumptions!$B$33=0,B4,B4-Forecast!F11-Forecast!F10-Forecast!F12)</f>
        <v>1666091538.4162164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0.18824236796363547</v>
      </c>
    </row>
    <row r="7" spans="1:2" x14ac:dyDescent="0.25">
      <c r="A7" t="s">
        <v>58</v>
      </c>
      <c r="B7" s="18">
        <f>-MAX(Forecast!F9,0)*B6</f>
        <v>-313629016.4356449</v>
      </c>
    </row>
    <row r="8" spans="1:2" x14ac:dyDescent="0.25">
      <c r="A8" t="s">
        <v>59</v>
      </c>
      <c r="B8" s="18">
        <f>IF(OR(Assumptions!$B$33=0,Assumptions!B12&lt;=0),B5,MAX(B5+B7,0))</f>
        <v>1352462521.9805715</v>
      </c>
    </row>
    <row r="9" spans="1:2" x14ac:dyDescent="0.25">
      <c r="A9" t="s">
        <v>60</v>
      </c>
      <c r="B9" s="18">
        <f>B8*(1+Assumptions!B12)/(Assumptions!B26-Assumptions!B12)</f>
        <v>23697495682.18562</v>
      </c>
    </row>
    <row r="10" spans="1:2" x14ac:dyDescent="0.25">
      <c r="A10" t="s">
        <v>61</v>
      </c>
      <c r="B10" s="18">
        <f>B9/(1+Assumptions!B26)^(5-0.5*Assumptions!B32)</f>
        <v>16518650748.898746</v>
      </c>
    </row>
    <row r="11" spans="1:2" x14ac:dyDescent="0.25">
      <c r="A11" t="s">
        <v>62</v>
      </c>
      <c r="B11" s="18">
        <f>Forecast!B17+B10</f>
        <v>19699373021.605766</v>
      </c>
    </row>
    <row r="12" spans="1:2" x14ac:dyDescent="0.25">
      <c r="A12" t="s">
        <v>63</v>
      </c>
      <c r="B12" s="18">
        <f>-Assumptions!B30</f>
        <v>-17355900000</v>
      </c>
    </row>
    <row r="13" spans="1:2" x14ac:dyDescent="0.25">
      <c r="A13" t="s">
        <v>64</v>
      </c>
      <c r="B13" s="18">
        <f>B11+B12</f>
        <v>2343473021.6057663</v>
      </c>
    </row>
    <row r="14" spans="1:2" x14ac:dyDescent="0.25">
      <c r="A14" s="19" t="s">
        <v>65</v>
      </c>
      <c r="B14" s="24">
        <f>B13/Assumptions!B31</f>
        <v>10.917029183317092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2768864585.3121147</v>
      </c>
    </row>
    <row r="18" spans="1:2" x14ac:dyDescent="0.25">
      <c r="A18" t="s">
        <v>60</v>
      </c>
      <c r="B18" s="18">
        <f>B17*Assumptions!B13</f>
        <v>45710976775.13442</v>
      </c>
    </row>
    <row r="19" spans="1:2" x14ac:dyDescent="0.25">
      <c r="A19" t="s">
        <v>61</v>
      </c>
      <c r="B19" s="18">
        <f>B18/(1+Assumptions!B26)^(5-0.5*Assumptions!B32)</f>
        <v>31863437000.522163</v>
      </c>
    </row>
    <row r="20" spans="1:2" x14ac:dyDescent="0.25">
      <c r="A20" t="s">
        <v>62</v>
      </c>
      <c r="B20" s="18">
        <f>Forecast!B17+B19</f>
        <v>35044159273.22919</v>
      </c>
    </row>
    <row r="21" spans="1:2" x14ac:dyDescent="0.25">
      <c r="A21" t="s">
        <v>63</v>
      </c>
      <c r="B21" s="18">
        <f>-Assumptions!B30</f>
        <v>-17355900000</v>
      </c>
    </row>
    <row r="22" spans="1:2" x14ac:dyDescent="0.25">
      <c r="A22" t="s">
        <v>64</v>
      </c>
      <c r="B22" s="18">
        <f>B20+B21</f>
        <v>17688259273.229187</v>
      </c>
    </row>
    <row r="23" spans="1:2" x14ac:dyDescent="0.25">
      <c r="A23" s="19" t="s">
        <v>65</v>
      </c>
      <c r="B23" s="25">
        <f>B22/Assumptions!B31</f>
        <v>82.40045475565421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292.19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10.917029183317092</v>
      </c>
    </row>
    <row r="29" spans="1:2" x14ac:dyDescent="0.25">
      <c r="A29" s="19" t="s">
        <v>73</v>
      </c>
      <c r="B29" s="12">
        <f>B28/B26-1</f>
        <v>-0.9626372251503573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0.063499</v>
      </c>
      <c r="B5" s="31">
        <v>43.81375150839967</v>
      </c>
      <c r="C5" s="31">
        <v>51.774262219778706</v>
      </c>
      <c r="D5" s="31">
        <v>61.744957779130424</v>
      </c>
      <c r="E5" s="31">
        <v>74.6259478231482</v>
      </c>
      <c r="F5" s="31">
        <v>91.94902003806615</v>
      </c>
    </row>
    <row r="6" spans="1:6" x14ac:dyDescent="0.25">
      <c r="A6" s="30">
        <v>0.073499</v>
      </c>
      <c r="B6" s="31">
        <v>21.08931025054536</v>
      </c>
      <c r="C6" s="31">
        <v>25.621915616525484</v>
      </c>
      <c r="D6" s="31">
        <v>31.045310518064703</v>
      </c>
      <c r="E6" s="31">
        <v>37.66667082204242</v>
      </c>
      <c r="F6" s="31">
        <v>45.95274841906815</v>
      </c>
    </row>
    <row r="7" spans="1:6" x14ac:dyDescent="0.25">
      <c r="A7" s="30">
        <v>0.083499</v>
      </c>
      <c r="B7" s="31">
        <v>5.077875089747762</v>
      </c>
      <c r="C7" s="31">
        <v>7.783414148365862</v>
      </c>
      <c r="D7" s="32">
        <v>10.916627607071758</v>
      </c>
      <c r="E7" s="31">
        <v>14.597426417496674</v>
      </c>
      <c r="F7" s="31">
        <v>18.995170365940975</v>
      </c>
    </row>
    <row r="8" spans="1:6" x14ac:dyDescent="0.25">
      <c r="A8" s="30">
        <v>0.093499</v>
      </c>
      <c r="B8" s="31">
        <v>-6.790215257092697</v>
      </c>
      <c r="C8" s="31">
        <v>-5.138757527784145</v>
      </c>
      <c r="D8" s="31">
        <v>-3.2747390036164883</v>
      </c>
      <c r="E8" s="31">
        <v>-1.1479476824654218</v>
      </c>
      <c r="F8" s="31">
        <v>1.308995227695346</v>
      </c>
    </row>
    <row r="9" spans="1:6" x14ac:dyDescent="0.25">
      <c r="A9" s="30">
        <v>0.103499</v>
      </c>
      <c r="B9" s="31">
        <v>-15.922929432551902</v>
      </c>
      <c r="C9" s="31">
        <v>-14.914298703753639</v>
      </c>
      <c r="D9" s="31">
        <v>-13.801075869362252</v>
      </c>
      <c r="E9" s="31">
        <v>-12.561915311289102</v>
      </c>
      <c r="F9" s="31">
        <v>-11.169239023209611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17028300000</v>
      </c>
      <c r="C5" s="18">
        <v>16381500000</v>
      </c>
      <c r="D5" s="18">
        <v>16060300000</v>
      </c>
      <c r="E5" s="18">
        <v>20929800000</v>
      </c>
      <c r="F5" s="8" t="s">
        <v>84</v>
      </c>
    </row>
    <row r="6" spans="1:6" x14ac:dyDescent="0.25">
      <c r="A6" t="s">
        <v>44</v>
      </c>
      <c r="B6" s="18">
        <v>3331200000</v>
      </c>
      <c r="C6" s="18">
        <v>2695400000</v>
      </c>
      <c r="D6" s="18">
        <v>2626200000</v>
      </c>
      <c r="E6" s="18">
        <v>1729000000</v>
      </c>
      <c r="F6" s="8" t="s">
        <v>85</v>
      </c>
    </row>
    <row r="7" spans="1:6" x14ac:dyDescent="0.25">
      <c r="A7" t="s">
        <v>86</v>
      </c>
      <c r="B7" s="18">
        <v>1515300000</v>
      </c>
      <c r="C7" s="18">
        <v>1423000000</v>
      </c>
      <c r="D7" s="18">
        <v>1329600000</v>
      </c>
      <c r="E7" s="18">
        <v>1096000000</v>
      </c>
      <c r="F7" s="8" t="s">
        <v>87</v>
      </c>
    </row>
    <row r="8" spans="1:6" x14ac:dyDescent="0.25">
      <c r="A8" t="s">
        <v>88</v>
      </c>
      <c r="B8" s="18">
        <v>3333300000</v>
      </c>
      <c r="C8" s="18">
        <v>2965800000</v>
      </c>
      <c r="D8" s="18">
        <v>2385400000</v>
      </c>
      <c r="E8" s="18">
        <v>1334300000</v>
      </c>
      <c r="F8" s="8" t="s">
        <v>89</v>
      </c>
    </row>
    <row r="9" spans="1:6" x14ac:dyDescent="0.25">
      <c r="A9" t="s">
        <v>90</v>
      </c>
      <c r="B9" s="18">
        <v>193600000</v>
      </c>
      <c r="C9" s="18">
        <v>-38700000</v>
      </c>
      <c r="D9" s="18">
        <v>-139200000</v>
      </c>
      <c r="E9" s="18">
        <v>364000000</v>
      </c>
      <c r="F9" s="8" t="s">
        <v>91</v>
      </c>
    </row>
    <row r="10" spans="1:6" x14ac:dyDescent="0.25">
      <c r="A10" t="s">
        <v>92</v>
      </c>
      <c r="B10" s="18">
        <v>17522000000</v>
      </c>
      <c r="C10" s="18">
        <v>14265000000</v>
      </c>
      <c r="D10" s="18">
        <v>13010400000</v>
      </c>
      <c r="E10" s="18">
        <v>11565000000</v>
      </c>
      <c r="F10" s="8" t="s">
        <v>93</v>
      </c>
    </row>
    <row r="11" spans="1:6" x14ac:dyDescent="0.25">
      <c r="A11" t="s">
        <v>94</v>
      </c>
      <c r="B11" s="18">
        <v>166100000</v>
      </c>
      <c r="C11" s="18">
        <v>157300000</v>
      </c>
      <c r="D11" s="18">
        <v>141700000</v>
      </c>
      <c r="E11" s="18">
        <v>219000000</v>
      </c>
      <c r="F11" s="8" t="s">
        <v>95</v>
      </c>
    </row>
    <row r="12" spans="1:6" x14ac:dyDescent="0.25">
      <c r="A12" t="s">
        <v>32</v>
      </c>
      <c r="B12" s="34">
        <v>214662156</v>
      </c>
      <c r="C12" s="34">
        <v>217763821</v>
      </c>
      <c r="D12" s="34">
        <v>226000000</v>
      </c>
      <c r="E12" s="34">
        <v>231100000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2026-09-19T00:07:07Z</dcterms:modified>
</cp:coreProperties>
</file>