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<sst xmlns="http://schemas.openxmlformats.org/spreadsheetml/2006/main" count="120" uniqueCount="107">
  <si>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Targa Resources Corp. (TRGP)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</si>
  <si>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</si>
  <si>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</si>
  <si>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</si>
  <si>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</si>
  <si>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</si>
  <si>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</si>
  <si>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</si>
  <si>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</si>
  <si>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</si>
  <si>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</si>
  <si>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</si>
  <si>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</si>
  <si>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</si>
  <si>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</si>
  <si>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</si>
  <si>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</si>
  <si>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</si>
  <si>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</si>
  <si>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</si>
  <si>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</si>
  <si>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</si>
  <si>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</si>
  <si>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</si>
  <si>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3.9x interest cover. Book interest / average debt was lower, at 5.4%.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</si>
  <si>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</si>
  <si>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</si>
  <si>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</si>
  <si>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</si>
  <si>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</si>
  <si>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</si>
  <si>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</si>
  <si>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</si>
  <si>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</si>
  <si>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</si>
  <si>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</si>
  <si>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</si>
  <si>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</si>
  <si>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</si>
  <si>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</si>
  <si>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</si>
  <si>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</si>
  <si>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</si>
  <si>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</si>
  <si>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</si>
  <si>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</si>
  <si>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</si>
  <si>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</si>
  <si>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</si>
  <si>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</si>
  <si>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</si>
  <si>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</si>
  <si>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</si>
  <si>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</si>
  <si>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</si>
  <si>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</si>
  <si>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</si>
  <si>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</si>
  <si>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</si>
  <si>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</si>
  <si>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</si>
  <si>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</si>
  <si>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</si>
  <si>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</si>
  <si>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</si>
  <si>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</si>
  <si>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</si>
  <si>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</si>
  <si>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</si>
  <si>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</si>
  <si>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</si>
  <si>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</si>
  <si>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</si>
  <si>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</si>
  <si>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</si>
  <si>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</si>
  <si>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</si>
  <si>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</si>
  <si>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</si>
  <si>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</si>
  <si>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</si>
  <si>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</si>
  <si>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</si>
  <si>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</si>
  <si>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</si>
  <si>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</si>
  <si>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</si>
  <si>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</si>
  <si>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</si>
  <si>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</si>
  <si>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</si>
  <si>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</si>
  <si>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</si>
  <si>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</si>
  <si>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</si>
  <si>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</si>
  <si>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</si>
  <si>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</si>
  <si>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</si>
  <si>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</si>
  <si>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</si>
  <si>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</si>
  <si>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</si>
  <si>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</si>
  <si>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</si>
  <si>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14.7% of revenue against depreciation of 7.8%.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</si>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</sst>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0.1187103997463046</v>
      </c>
    </row>
    <row r="7" spans="1:2" x14ac:dyDescent="0.25">
      <c r="A7" t="s">
        <v>4</v>
      </c>
      <c r="B7" s="5">
        <v>0.15157431513926956</v>
      </c>
    </row>
    <row r="8" spans="1:2" x14ac:dyDescent="0.25">
      <c r="A8" t="s">
        <v>5</v>
      </c>
      <c r="B8" s="5">
        <v>0.1926879798861223</v>
      </c>
    </row>
    <row r="9" spans="1:2" x14ac:dyDescent="0.25">
      <c r="A9" t="s">
        <v>6</v>
      </c>
      <c r="B9" s="5">
        <v>0.07775173954465518</v>
      </c>
    </row>
    <row r="10" spans="1:3" x14ac:dyDescent="0.25">
      <c r="A10" t="s">
        <v>7</v>
      </c>
      <c r="B10" s="5">
        <v>0.1472688094255376</v>
      </c>
      <c r="C10" s="6" t="s">
        <v>8</v>
      </c>
    </row>
    <row r="11" spans="1:2" x14ac:dyDescent="0.25">
      <c r="A11" t="s">
        <v>9</v>
      </c>
      <c r="B11" s="5">
        <v>0.009238415278663143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17.517698489219026</v>
      </c>
    </row>
    <row r="14" spans="1:3" x14ac:dyDescent="0.25">
      <c r="A14" t="s">
        <v>12</v>
      </c>
      <c r="B14" s="5">
        <v>0.13280750911946393</v>
      </c>
      <c r="C14" s="6" t="s">
        <v>13</v>
      </c>
    </row>
    <row r="15" spans="1:3" x14ac:dyDescent="0.25">
      <c r="A15" t="s">
        <v>14</v>
      </c>
      <c r="B15" s="5">
        <v>0.05839966366106396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0.86332</v>
      </c>
      <c r="C19" s="6" t="s">
        <v>21</v>
      </c>
    </row>
    <row r="20" spans="1:2" x14ac:dyDescent="0.25">
      <c r="A20" t="s">
        <v>22</v>
      </c>
      <c r="B20" s="9">
        <f>B17+B19*B18</f>
        <v>0.085458436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67543625728</v>
      </c>
    </row>
    <row r="23" spans="1:2" x14ac:dyDescent="0.25">
      <c r="A23" t="s">
        <v>26</v>
      </c>
      <c r="B23" s="10">
        <v>17522000000</v>
      </c>
    </row>
    <row r="24" spans="1:2" x14ac:dyDescent="0.25">
      <c r="A24" t="s">
        <v>27</v>
      </c>
      <c r="B24" s="9">
        <f>B22/(B22+B23)</f>
        <v>0.794017855625642</v>
      </c>
    </row>
    <row r="25" spans="1:2" x14ac:dyDescent="0.25">
      <c r="A25" t="s">
        <v>28</v>
      </c>
      <c r="B25" s="9">
        <f>1-B24</f>
        <v>0.20598214437435802</v>
      </c>
    </row>
    <row r="26" spans="1:2" x14ac:dyDescent="0.25">
      <c r="A26" t="s">
        <v>29</v>
      </c>
      <c r="B26" s="11">
        <f>B24*B20+B25*B21*(1-B8)</f>
        <v>0.07747384534283859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17028300000</v>
      </c>
      <c r="C29" s="6" t="s">
        <v>32</v>
      </c>
    </row>
    <row r="30" spans="1:2" x14ac:dyDescent="0.25">
      <c r="A30" t="s">
        <v>33</v>
      </c>
      <c r="B30" s="10">
        <v>17355900000</v>
      </c>
    </row>
    <row r="31" spans="1:2" x14ac:dyDescent="0.25">
      <c r="A31" t="s">
        <v>34</v>
      </c>
      <c r="B31" s="12">
        <v>214662156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0.1187103997463046</v>
      </c>
      <c r="C5" s="5">
        <v>0.26001496776624666</v>
      </c>
      <c r="D5" s="5">
        <v>0.23063809679546582</v>
      </c>
      <c r="E5" s="5">
        <v>0.201261225824685</v>
      </c>
      <c r="F5" s="5">
        <v>0.17188435485390416</v>
      </c>
      <c r="G5" s="5">
        <v>0.14250748388312334</v>
      </c>
      <c r="H5" s="5">
        <v>0.1131306129123425</v>
      </c>
      <c r="I5" s="5">
        <v>0.08375374194156165</v>
      </c>
      <c r="J5" s="5">
        <v>0.05437687097078084</v>
      </c>
      <c r="K5" s="5">
        <v>0.024999999999999994</v>
      </c>
    </row>
    <row r="6" spans="1:11" x14ac:dyDescent="0.25">
      <c r="A6" t="s">
        <v>50</v>
      </c>
      <c r="B6" s="18">
        <f>Assumptions!B29*(1+B5)</f>
        <v>19049736300</v>
      </c>
      <c r="C6" s="18">
        <f>B6*(1+C5)</f>
        <v>24002952870</v>
      </c>
      <c r="D6" s="18">
        <f>C6*(1+D5)</f>
        <v>29538948237.408062</v>
      </c>
      <c r="E6" s="18">
        <f>D6*(1+E5)</f>
        <v>35483993169.24073</v>
      </c>
      <c r="F6" s="18">
        <f>E6*(1+F5)</f>
        <v>41583136442.77602</v>
      </c>
      <c r="G6" s="18">
        <f>F6*(1+G5)</f>
        <v>47509044589.204636</v>
      </c>
      <c r="H6" s="18">
        <f>G6*(1+H5)</f>
        <v>52883771922.461174</v>
      </c>
      <c r="I6" s="18">
        <f>H6*(1+I5)</f>
        <v>57312985708.95139</v>
      </c>
      <c r="J6" s="18">
        <f>I6*(1+J5)</f>
        <v>60429486537.79725</v>
      </c>
      <c r="K6" s="18">
        <f>J6*(1+K5)</f>
        <v>61940223701.24217</v>
      </c>
    </row>
    <row r="7" spans="1:11" x14ac:dyDescent="0.25">
      <c r="A7" t="s">
        <v>4</v>
      </c>
      <c r="B7" s="9">
        <f>Assumptions!B7</f>
        <v>0.15157431513926956</v>
      </c>
      <c r="C7" s="9">
        <f>Assumptions!B7</f>
        <v>0.15157431513926956</v>
      </c>
      <c r="D7" s="9">
        <f>Assumptions!B7</f>
        <v>0.15157431513926956</v>
      </c>
      <c r="E7" s="9">
        <f>Assumptions!B7</f>
        <v>0.15157431513926956</v>
      </c>
      <c r="F7" s="9">
        <f>Assumptions!B7</f>
        <v>0.15157431513926956</v>
      </c>
      <c r="G7" s="9">
        <f>Assumptions!B7</f>
        <v>0.15157431513926956</v>
      </c>
      <c r="H7" s="9">
        <f>Assumptions!B7</f>
        <v>0.15157431513926956</v>
      </c>
      <c r="I7" s="9">
        <f>Assumptions!B7</f>
        <v>0.15157431513926956</v>
      </c>
      <c r="J7" s="9">
        <f>Assumptions!B7</f>
        <v>0.15157431513926956</v>
      </c>
      <c r="K7" s="9">
        <f>Assumptions!B7</f>
        <v>0.15157431513926956</v>
      </c>
    </row>
    <row r="8" spans="1:11" x14ac:dyDescent="0.25">
      <c r="A8" t="s">
        <v>51</v>
      </c>
      <c r="B8" s="18">
        <f>B6*B7</f>
        <v>2887450733.2561827</v>
      </c>
      <c r="C8" s="18">
        <f>C6*C7</f>
        <v>3638231142.5904145</v>
      </c>
      <c r="D8" s="18">
        <f>D6*D7</f>
        <v>4477345849.019461</v>
      </c>
      <c r="E8" s="18">
        <f>E6*E7</f>
        <v>5378461963.034183</v>
      </c>
      <c r="F8" s="18">
        <f>F6*F7</f>
        <v>6302935427.656576</v>
      </c>
      <c r="G8" s="18">
        <f>G6*G7</f>
        <v>7201150896.529713</v>
      </c>
      <c r="H8" s="18">
        <f>H6*H7</f>
        <v>8015821511.128385</v>
      </c>
      <c r="I8" s="18">
        <f>I6*I7</f>
        <v>8687176557.421051</v>
      </c>
      <c r="J8" s="18">
        <f>J6*J7</f>
        <v>9159558036.184328</v>
      </c>
      <c r="K8" s="18">
        <f>K6*K7</f>
        <v>9388546987.088934</v>
      </c>
    </row>
    <row r="9" spans="1:11" x14ac:dyDescent="0.25">
      <c r="A9" t="s">
        <v>52</v>
      </c>
      <c r="B9" s="18">
        <f>B8*(1-Assumptions!B8)</f>
        <v>2331073684.4443464</v>
      </c>
      <c r="C9" s="18">
        <f>C8*(1-Assumptions!B8)</f>
        <v>2937187733.365889</v>
      </c>
      <c r="D9" s="18">
        <f>D8*(1-Assumptions!B8)</f>
        <v>3614615122.1203856</v>
      </c>
      <c r="E9" s="18">
        <f>E8*(1-Assumptions!B8)</f>
        <v>4342096992.482779</v>
      </c>
      <c r="F9" s="18">
        <f>F8*(1-Assumptions!B8)</f>
        <v>5088435532.748758</v>
      </c>
      <c r="G9" s="18">
        <f>G8*(1-Assumptions!B8)</f>
        <v>5813575677.422264</v>
      </c>
      <c r="H9" s="18">
        <f>H8*(1-Assumptions!B8)</f>
        <v>6471269057.021332</v>
      </c>
      <c r="I9" s="18">
        <f>I8*(1-Assumptions!B8)</f>
        <v>7013262055.657511</v>
      </c>
      <c r="J9" s="18">
        <f>J8*(1-Assumptions!B8)</f>
        <v>7394621301.542273</v>
      </c>
      <c r="K9" s="18">
        <f>K8*(1-Assumptions!B8)</f>
        <v>7579486834.080828</v>
      </c>
    </row>
    <row r="10" spans="1:11" x14ac:dyDescent="0.25">
      <c r="A10" t="s">
        <v>53</v>
      </c>
      <c r="B10" s="18">
        <f>B6*Assumptions!B9</f>
        <v>1481150135.1919632</v>
      </c>
      <c r="C10" s="18">
        <f>C6*Assumptions!B9</f>
        <v>1866271339.8508737</v>
      </c>
      <c r="D10" s="18">
        <f>D6*Assumptions!B9</f>
        <v>2296704609.7780027</v>
      </c>
      <c r="E10" s="18">
        <f>E6*Assumptions!B9</f>
        <v>2758942194.899129</v>
      </c>
      <c r="F10" s="18">
        <f>F6*Assumptions!B9</f>
        <v>3233161194.14858</v>
      </c>
      <c r="G10" s="18">
        <f>G6*Assumptions!B9</f>
        <v>3693910860.9152484</v>
      </c>
      <c r="H10" s="18">
        <f>H6*Assumptions!B9</f>
        <v>4111805260.65415</v>
      </c>
      <c r="I10" s="18">
        <f>I6*Assumptions!B9</f>
        <v>4456184337.368934</v>
      </c>
      <c r="J10" s="18">
        <f>J6*Assumptions!B9</f>
        <v>4698497698.104058</v>
      </c>
      <c r="K10" s="18">
        <f>K6*Assumptions!B9</f>
        <v>4815960140.556659</v>
      </c>
    </row>
    <row r="11" spans="1:11" x14ac:dyDescent="0.25">
      <c r="A11" t="s">
        <v>54</v>
      </c>
      <c r="B11" s="18">
        <f>-B6*B19</f>
        <v>-2805431984.7714458</v>
      </c>
      <c r="C11" s="18">
        <f>-C6*C19</f>
        <v>-3367149906.5089383</v>
      </c>
      <c r="D11" s="18">
        <f>-D6*D19</f>
        <v>-3937320166.536714</v>
      </c>
      <c r="E11" s="18">
        <f>-E6*E19</f>
        <v>-4481782360.728224</v>
      </c>
      <c r="F11" s="18">
        <f>-F6*F19</f>
        <v>-4961541175.161033</v>
      </c>
      <c r="G11" s="18">
        <f>-G6*G19</f>
        <v>-5336597296.870445</v>
      </c>
      <c r="H11" s="18">
        <f>-H6*H19</f>
        <v>-5570769758.127595</v>
      </c>
      <c r="I11" s="18">
        <f>-I6*I19</f>
        <v>-5636830471.01326</v>
      </c>
      <c r="J11" s="18">
        <f>-J6*J19</f>
        <v>-5521052979.591393</v>
      </c>
      <c r="K11" s="18">
        <f>-K6*K19</f>
        <v>-5226231342.08715</v>
      </c>
    </row>
    <row r="12" spans="1:11" x14ac:dyDescent="0.25">
      <c r="A12" t="s">
        <v>55</v>
      </c>
      <c r="B12" s="18">
        <f>-(B6-Assumptions!B29)*Assumptions!B11</f>
        <v>-18674867.99876429</v>
      </c>
      <c r="C12" s="18">
        <f>-(C6-B6)*Assumptions!B11</f>
        <v>-45759871.63881545</v>
      </c>
      <c r="D12" s="18">
        <f>-(D6-C6)*Assumptions!B11</f>
        <v>-51143824.18487102</v>
      </c>
      <c r="E12" s="18">
        <f>-(E6-D6)*Assumptions!B11</f>
        <v>-54922793.93058181</v>
      </c>
      <c r="F12" s="18">
        <f>-(F6-E6)*Assumptions!B11</f>
        <v>-56346418.40498392</v>
      </c>
      <c r="G12" s="18">
        <f>-(G6-F6)*Assumptions!B11</f>
        <v>-54746000.35992054</v>
      </c>
      <c r="H12" s="18">
        <f>-(H6-G6)*Assumptions!B11</f>
        <v>-49653963.114205614</v>
      </c>
      <c r="I12" s="18">
        <f>-(I6-H6)*Assumptions!B11</f>
        <v>-40918916.31757667</v>
      </c>
      <c r="J12" s="18">
        <f>-(J6-I6)*Assumptions!B11</f>
        <v>-28791528.8731759</v>
      </c>
      <c r="K12" s="18">
        <f>-(K6-J6)*Assumptions!B11</f>
        <v>-13956817.292813798</v>
      </c>
    </row>
    <row r="13" spans="1:11" x14ac:dyDescent="0.25">
      <c r="A13" s="19" t="s">
        <v>56</v>
      </c>
      <c r="B13" s="20">
        <f>B9+B10+B11+B12</f>
        <v>988116966.8660996</v>
      </c>
      <c r="C13" s="20">
        <f>C9+C10+C11+C12</f>
        <v>1390549295.0690088</v>
      </c>
      <c r="D13" s="20">
        <f>D9+D10+D11+D12</f>
        <v>1922855741.1768029</v>
      </c>
      <c r="E13" s="20">
        <f>E9+E10+E11+E12</f>
        <v>2564334032.7231016</v>
      </c>
      <c r="F13" s="20">
        <f>F9+F10+F11+F12</f>
        <v>3303709133.331322</v>
      </c>
      <c r="G13" s="20">
        <f>G9+G10+G11+G12</f>
        <v>4116143241.107147</v>
      </c>
      <c r="H13" s="20">
        <f>H9+H10+H11+H12</f>
        <v>4962650596.4336815</v>
      </c>
      <c r="I13" s="20">
        <f>I9+I10+I11+I12</f>
        <v>5791697005.695607</v>
      </c>
      <c r="J13" s="20">
        <f>J9+J10+J11+J12</f>
        <v>6543274491.181763</v>
      </c>
      <c r="K13" s="20">
        <f>K9+K10+K11+K12</f>
        <v>7155258815.257522</v>
      </c>
    </row>
    <row r="14" spans="1:11" x14ac:dyDescent="0.25">
      <c r="A14" t="s">
        <v>57</v>
      </c>
      <c r="B14" s="21">
        <f>1/(1+Assumptions!$B$26)^(1-0.5*Assumptions!$B$32)</f>
        <v>0.9633777940470974</v>
      </c>
      <c r="C14" s="21">
        <f>1/(1+Assumptions!$B$26)^(2-0.5*Assumptions!$B$32)</f>
        <v>0.8941078228590902</v>
      </c>
      <c r="D14" s="21">
        <f>1/(1+Assumptions!$B$26)^(3-0.5*Assumptions!$B$32)</f>
        <v>0.8298185860600602</v>
      </c>
      <c r="E14" s="21">
        <f>1/(1+Assumptions!$B$26)^(4-0.5*Assumptions!$B$32)</f>
        <v>0.7701519527799048</v>
      </c>
      <c r="F14" s="21">
        <f>1/(1+Assumptions!$B$26)^(5-0.5*Assumptions!$B$32)</f>
        <v>0.7147755429133894</v>
      </c>
      <c r="G14" s="21">
        <f>1/(1+Assumptions!$B$26)^(6-0.5*Assumptions!$B$32)</f>
        <v>0.6633808755570831</v>
      </c>
      <c r="H14" s="21">
        <f>1/(1+Assumptions!$B$26)^(7-0.5*Assumptions!$B$32)</f>
        <v>0.6156816505796517</v>
      </c>
      <c r="I14" s="21">
        <f>1/(1+Assumptions!$B$26)^(8-0.5*Assumptions!$B$32)</f>
        <v>0.5714121537527898</v>
      </c>
      <c r="J14" s="21">
        <f>1/(1+Assumptions!$B$26)^(9-0.5*Assumptions!$B$32)</f>
        <v>0.5303257765583848</v>
      </c>
      <c r="K14" s="21">
        <f>1/(1+Assumptions!$B$26)^(10-0.5*Assumptions!$B$32)</f>
        <v>0.49219364242631974</v>
      </c>
    </row>
    <row r="15" spans="1:11" x14ac:dyDescent="0.25">
      <c r="A15" s="19" t="s">
        <v>58</v>
      </c>
      <c r="B15" s="20">
        <f>B13*B14</f>
        <v>951929943.7999719</v>
      </c>
      <c r="C15" s="20">
        <f>C13*C14</f>
        <v>1243301002.7923942</v>
      </c>
      <c r="D15" s="20">
        <f>D13*D14</f>
        <v>1595621432.3408036</v>
      </c>
      <c r="E15" s="20">
        <f>E13*E14</f>
        <v>1974926862.881665</v>
      </c>
      <c r="F15" s="20">
        <f>F13*F14</f>
        <v>2361410489.404819</v>
      </c>
      <c r="G15" s="20">
        <f>G13*G14</f>
        <v>2730570707.204029</v>
      </c>
      <c r="H15" s="20">
        <f>H13*H14</f>
        <v>3055412910.4623823</v>
      </c>
      <c r="I15" s="20">
        <f>I13*I14</f>
        <v>3309446059.90811</v>
      </c>
      <c r="J15" s="20">
        <f>J13*J14</f>
        <v>3470067125.770638</v>
      </c>
      <c r="K15" s="20">
        <f>K13*K14</f>
        <v>3521772898.7846327</v>
      </c>
    </row>
    <row r="17" spans="1:2" x14ac:dyDescent="0.25">
      <c r="A17" s="22" t="s">
        <v>59</v>
      </c>
      <c r="B17" s="23">
        <f>SUM(B15:K15)</f>
        <v>24214459433.34945</v>
      </c>
    </row>
    <row r="19" spans="1:11" x14ac:dyDescent="0.25">
      <c r="A19" t="s">
        <v>7</v>
      </c>
      <c r="B19" s="9">
        <f>Assumptions!$B$10+($B$20-Assumptions!$B$10)*0/9</f>
        <v>0.1472688094255376</v>
      </c>
      <c r="C19" s="9">
        <f>Assumptions!$B$10+($B$20-Assumptions!$B$10)*1/9</f>
        <v>0.14028065316569271</v>
      </c>
      <c r="D19" s="9">
        <f>Assumptions!$B$10+($B$20-Assumptions!$B$10)*2/9</f>
        <v>0.13329249690584785</v>
      </c>
      <c r="E19" s="9">
        <f>Assumptions!$B$10+($B$20-Assumptions!$B$10)*3/9</f>
        <v>0.12630434064600296</v>
      </c>
      <c r="F19" s="9">
        <f>Assumptions!$B$10+($B$20-Assumptions!$B$10)*4/9</f>
        <v>0.11931618438615807</v>
      </c>
      <c r="G19" s="9">
        <f>Assumptions!$B$10+($B$20-Assumptions!$B$10)*5/9</f>
        <v>0.11232802812631318</v>
      </c>
      <c r="H19" s="9">
        <f>Assumptions!$B$10+($B$20-Assumptions!$B$10)*6/9</f>
        <v>0.10533987186646832</v>
      </c>
      <c r="I19" s="9">
        <f>Assumptions!$B$10+($B$20-Assumptions!$B$10)*7/9</f>
        <v>0.09835171560662342</v>
      </c>
      <c r="J19" s="9">
        <f>Assumptions!$B$10+($B$20-Assumptions!$B$10)*8/9</f>
        <v>0.09136355934677853</v>
      </c>
      <c r="K19" s="9">
        <f>Assumptions!$B$10+($B$20-Assumptions!$B$10)*9/9</f>
        <v>0.08437540308693366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0.08437540308693366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7155258815.257522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8547189074.642107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0.18824236796363547</v>
      </c>
    </row>
    <row r="7" spans="1:2" x14ac:dyDescent="0.25">
      <c r="A7" t="s">
        <v>66</v>
      </c>
      <c r="B7" s="18">
        <f>-MAX(B5,0)*B6</f>
        <v>-1608943110.8435445</v>
      </c>
    </row>
    <row r="8" spans="1:2" x14ac:dyDescent="0.25">
      <c r="A8" t="s">
        <v>67</v>
      </c>
      <c r="B8" s="18">
        <f>IF(OR(Assumptions!$B$33=0,Assumptions!B12&lt;=0),B5,MAX(B5+B7,0))</f>
        <v>6938245963.798563</v>
      </c>
    </row>
    <row r="9" spans="1:2" x14ac:dyDescent="0.25">
      <c r="A9" t="s">
        <v>68</v>
      </c>
      <c r="B9" s="18">
        <f>B8*(1+Assumptions!B12)/(Assumptions!B26-Assumptions!B12)</f>
        <v>135528510754.81743</v>
      </c>
    </row>
    <row r="10" spans="1:2" x14ac:dyDescent="0.25">
      <c r="A10" t="s">
        <v>69</v>
      </c>
      <c r="B10" s="18">
        <f>B9/(1+Assumptions!B26)^(10-0.5*Assumptions!B32)</f>
        <v>66706271361.02824</v>
      </c>
    </row>
    <row r="11" spans="1:2" x14ac:dyDescent="0.25">
      <c r="A11" t="s">
        <v>70</v>
      </c>
      <c r="B11" s="18">
        <f>Forecast!B17+B10</f>
        <v>90920730794.37769</v>
      </c>
    </row>
    <row r="12" spans="1:2" x14ac:dyDescent="0.25">
      <c r="A12" t="s">
        <v>71</v>
      </c>
      <c r="B12" s="18">
        <f>-Assumptions!B30</f>
        <v>-17355900000</v>
      </c>
    </row>
    <row r="13" spans="1:2" x14ac:dyDescent="0.25">
      <c r="A13" t="s">
        <v>72</v>
      </c>
      <c r="B13" s="18">
        <f>B11+B12</f>
        <v>73564830794.37769</v>
      </c>
    </row>
    <row r="14" spans="1:2" x14ac:dyDescent="0.25">
      <c r="A14" s="19" t="s">
        <v>73</v>
      </c>
      <c r="B14" s="24">
        <f>B13/Assumptions!B31</f>
        <v>342.7005121218371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14204507127.645592</v>
      </c>
    </row>
    <row r="18" spans="1:2" x14ac:dyDescent="0.25">
      <c r="A18" t="s">
        <v>68</v>
      </c>
      <c r="B18" s="18">
        <f>B17*Assumptions!B13</f>
        <v>248830273050.05807</v>
      </c>
    </row>
    <row r="19" spans="1:2" x14ac:dyDescent="0.25">
      <c r="A19" t="s">
        <v>69</v>
      </c>
      <c r="B19" s="18">
        <f>B18/(1+Assumptions!B26)^(10-0.5*Assumptions!B32)</f>
        <v>122472678438.44379</v>
      </c>
    </row>
    <row r="20" spans="1:2" x14ac:dyDescent="0.25">
      <c r="A20" t="s">
        <v>70</v>
      </c>
      <c r="B20" s="18">
        <f>Forecast!B17+B19</f>
        <v>146687137871.79324</v>
      </c>
    </row>
    <row r="21" spans="1:2" x14ac:dyDescent="0.25">
      <c r="A21" t="s">
        <v>71</v>
      </c>
      <c r="B21" s="18">
        <f>-Assumptions!B30</f>
        <v>-17355900000</v>
      </c>
    </row>
    <row r="22" spans="1:2" x14ac:dyDescent="0.25">
      <c r="A22" t="s">
        <v>72</v>
      </c>
      <c r="B22" s="18">
        <f>B20+B21</f>
        <v>129331237871.79324</v>
      </c>
    </row>
    <row r="23" spans="1:2" x14ac:dyDescent="0.25">
      <c r="A23" s="19" t="s">
        <v>73</v>
      </c>
      <c r="B23" s="25">
        <f>B22/Assumptions!B31</f>
        <v>602.4873703019792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314.99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342.7005121218371</v>
      </c>
    </row>
    <row r="29" spans="1:2" x14ac:dyDescent="0.25">
      <c r="A29" s="19" t="s">
        <v>81</v>
      </c>
      <c r="B29" s="11">
        <f>B28/B26-1</f>
        <v>0.08797267253511887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0.057474</v>
      </c>
      <c r="B5" s="31">
        <v>550.4912346435866</v>
      </c>
      <c r="C5" s="31">
        <v>591.2517531216181</v>
      </c>
      <c r="D5" s="31">
        <v>645.5992210189157</v>
      </c>
      <c r="E5" s="31">
        <v>720.9517151094838</v>
      </c>
      <c r="F5" s="31">
        <v>831.3287865590721</v>
      </c>
    </row>
    <row r="6" spans="1:6" x14ac:dyDescent="0.25">
      <c r="A6" s="30">
        <v>0.067474</v>
      </c>
      <c r="B6" s="31">
        <v>413.88319371721644</v>
      </c>
      <c r="C6" s="31">
        <v>433.2860652796478</v>
      </c>
      <c r="D6" s="31">
        <v>458.0025621053566</v>
      </c>
      <c r="E6" s="31">
        <v>490.1596089674971</v>
      </c>
      <c r="F6" s="31">
        <v>533.1940553624803</v>
      </c>
    </row>
    <row r="7" spans="1:6" x14ac:dyDescent="0.25">
      <c r="A7" s="30">
        <v>0.077474</v>
      </c>
      <c r="B7" s="31">
        <v>321.8314794551935</v>
      </c>
      <c r="C7" s="31">
        <v>331.09792800107624</v>
      </c>
      <c r="D7" s="32">
        <v>342.6990745353261</v>
      </c>
      <c r="E7" s="31">
        <v>357.3725958879031</v>
      </c>
      <c r="F7" s="31">
        <v>376.2035234256411</v>
      </c>
    </row>
    <row r="8" spans="1:6" x14ac:dyDescent="0.25">
      <c r="A8" s="30">
        <v>0.087474</v>
      </c>
      <c r="B8" s="31">
        <v>255.84137365445028</v>
      </c>
      <c r="C8" s="31">
        <v>259.838770154069</v>
      </c>
      <c r="D8" s="31">
        <v>264.9267428973126</v>
      </c>
      <c r="E8" s="31">
        <v>271.38991873552897</v>
      </c>
      <c r="F8" s="31">
        <v>279.62140752168517</v>
      </c>
    </row>
    <row r="9" spans="1:6" x14ac:dyDescent="0.25">
      <c r="A9" s="30">
        <v>0.097474</v>
      </c>
      <c r="B9" s="31">
        <v>206.39182216630664</v>
      </c>
      <c r="C9" s="31">
        <v>207.49288576951503</v>
      </c>
      <c r="D9" s="31">
        <v>209.11274422341296</v>
      </c>
      <c r="E9" s="31">
        <v>211.3667296968412</v>
      </c>
      <c r="F9" s="31">
        <v>214.40709601207686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17028300000</v>
      </c>
      <c r="C5" s="18">
        <v>16381500000</v>
      </c>
      <c r="D5" s="18">
        <v>16060300000</v>
      </c>
      <c r="E5" s="18">
        <v>20929800000</v>
      </c>
      <c r="F5" s="6" t="s">
        <v>91</v>
      </c>
    </row>
    <row r="6" spans="1:6" x14ac:dyDescent="0.25">
      <c r="A6" t="s">
        <v>51</v>
      </c>
      <c r="B6" s="18">
        <v>3331200000</v>
      </c>
      <c r="C6" s="18">
        <v>2695400000</v>
      </c>
      <c r="D6" s="18">
        <v>2626200000</v>
      </c>
      <c r="E6" s="18">
        <v>1729000000</v>
      </c>
      <c r="F6" s="6" t="s">
        <v>92</v>
      </c>
    </row>
    <row r="7" spans="1:6" x14ac:dyDescent="0.25">
      <c r="A7" t="s">
        <v>93</v>
      </c>
      <c r="B7" s="18">
        <v>1515300000</v>
      </c>
      <c r="C7" s="18">
        <v>1423000000</v>
      </c>
      <c r="D7" s="18">
        <v>1329600000</v>
      </c>
      <c r="E7" s="18">
        <v>1096000000</v>
      </c>
      <c r="F7" s="6" t="s">
        <v>94</v>
      </c>
    </row>
    <row r="8" spans="1:6" x14ac:dyDescent="0.25">
      <c r="A8" t="s">
        <v>95</v>
      </c>
      <c r="B8" s="18">
        <v>3333300000</v>
      </c>
      <c r="C8" s="18">
        <v>2965800000</v>
      </c>
      <c r="D8" s="18">
        <v>2385400000</v>
      </c>
      <c r="E8" s="18">
        <v>1334300000</v>
      </c>
      <c r="F8" s="6" t="s">
        <v>96</v>
      </c>
    </row>
    <row r="9" spans="1:6" x14ac:dyDescent="0.25">
      <c r="A9" t="s">
        <v>97</v>
      </c>
      <c r="B9" s="18">
        <v>193600000</v>
      </c>
      <c r="C9" s="18">
        <v>-38700000</v>
      </c>
      <c r="D9" s="18">
        <v>-139200000</v>
      </c>
      <c r="E9" s="18">
        <v>364000000</v>
      </c>
      <c r="F9" s="6" t="s">
        <v>98</v>
      </c>
    </row>
    <row r="10" spans="1:6" x14ac:dyDescent="0.25">
      <c r="A10" t="s">
        <v>99</v>
      </c>
      <c r="B10" s="18">
        <v>17522000000</v>
      </c>
      <c r="C10" s="18">
        <v>14265000000</v>
      </c>
      <c r="D10" s="18">
        <v>13010400000</v>
      </c>
      <c r="E10" s="18">
        <v>11565000000</v>
      </c>
      <c r="F10" s="6" t="s">
        <v>100</v>
      </c>
    </row>
    <row r="11" spans="1:6" x14ac:dyDescent="0.25">
      <c r="A11" t="s">
        <v>101</v>
      </c>
      <c r="B11" s="18">
        <v>166100000</v>
      </c>
      <c r="C11" s="18">
        <v>157300000</v>
      </c>
      <c r="D11" s="18">
        <v>141700000</v>
      </c>
      <c r="E11" s="18">
        <v>219000000</v>
      </c>
      <c r="F11" s="6" t="s">
        <v>102</v>
      </c>
    </row>
    <row r="12" spans="1:6" x14ac:dyDescent="0.25">
      <c r="A12" t="s">
        <v>34</v>
      </c>
      <c r="B12" s="34">
        <v>214662156</v>
      </c>
      <c r="C12" s="34">
        <v>217763821</v>
      </c>
      <c r="D12" s="34">
        <v>226000000</v>
      </c>
      <c r="E12" s="34">
        <v>231100000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