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<sst xmlns="http://schemas.openxmlformats.org/spreadsheetml/2006/main" count="114" uniqueCount="102">
  <si>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Thomson Reuters Corporation (TRI.TO)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</si>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</sst>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0.04100010673329524</v>
      </c>
    </row>
    <row r="7" spans="1:2" x14ac:dyDescent="0.25">
      <c r="A7" t="s">
        <v>5</v>
      </c>
      <c r="B7" s="6">
        <v>0.27204447340273735</v>
      </c>
    </row>
    <row r="8" spans="1:2" x14ac:dyDescent="0.25">
      <c r="A8" t="s">
        <v>6</v>
      </c>
      <c r="B8" s="6">
        <v>0.20975855130784707</v>
      </c>
    </row>
    <row r="9" spans="1:2" x14ac:dyDescent="0.25">
      <c r="A9" t="s">
        <v>7</v>
      </c>
      <c r="B9" s="6">
        <v>0.11340356403318164</v>
      </c>
    </row>
    <row r="10" spans="1:2" x14ac:dyDescent="0.25">
      <c r="A10" t="s">
        <v>8</v>
      </c>
      <c r="B10" s="6">
        <v>0.08457285739133331</v>
      </c>
    </row>
    <row r="11" spans="1:2" x14ac:dyDescent="0.25">
      <c r="A11" t="s">
        <v>9</v>
      </c>
      <c r="B11" s="6">
        <v>-0.3793103448275862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0.10504844086946394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0.45729999999999993</v>
      </c>
      <c r="C19" s="8" t="s">
        <v>19</v>
      </c>
    </row>
    <row r="20" spans="1:2" x14ac:dyDescent="0.25">
      <c r="A20" t="s">
        <v>20</v>
      </c>
      <c r="B20" s="10">
        <f>B17+B19*B18</f>
        <v>0.058151499999999995</v>
      </c>
    </row>
    <row r="21" spans="1:3" x14ac:dyDescent="0.25">
      <c r="A21" t="s">
        <v>21</v>
      </c>
      <c r="B21" s="6">
        <v>0.0671806167400881</v>
      </c>
      <c r="C21" s="8" t="s">
        <v>22</v>
      </c>
    </row>
    <row r="22" spans="1:2" x14ac:dyDescent="0.25">
      <c r="A22" t="s">
        <v>23</v>
      </c>
      <c r="B22" s="11">
        <v>57267167232</v>
      </c>
    </row>
    <row r="23" spans="1:2" x14ac:dyDescent="0.25">
      <c r="A23" t="s">
        <v>24</v>
      </c>
      <c r="B23" s="11">
        <v>2372000000</v>
      </c>
    </row>
    <row r="24" spans="1:2" x14ac:dyDescent="0.25">
      <c r="A24" t="s">
        <v>25</v>
      </c>
      <c r="B24" s="10">
        <f>B22/(B22+B23)</f>
        <v>0.960227479522429</v>
      </c>
    </row>
    <row r="25" spans="1:2" x14ac:dyDescent="0.25">
      <c r="A25" t="s">
        <v>26</v>
      </c>
      <c r="B25" s="10">
        <f>1-B24</f>
        <v>0.03977252047757096</v>
      </c>
    </row>
    <row r="26" spans="1:2" x14ac:dyDescent="0.25">
      <c r="A26" t="s">
        <v>27</v>
      </c>
      <c r="B26" s="12">
        <f>B24*B20+B25*B21*(1-B8)</f>
        <v>0.05795014795190268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7476000000</v>
      </c>
      <c r="C29" s="8" t="s">
        <v>30</v>
      </c>
    </row>
    <row r="30" spans="1:2" x14ac:dyDescent="0.25">
      <c r="A30" t="s">
        <v>31</v>
      </c>
      <c r="B30" s="11">
        <v>1907000000</v>
      </c>
    </row>
    <row r="31" spans="1:2" x14ac:dyDescent="0.25">
      <c r="A31" t="s">
        <v>32</v>
      </c>
      <c r="B31" s="13">
        <v>442591684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0.04100010673329524</v>
      </c>
      <c r="C5" s="10">
        <f>Assumptions!B6</f>
        <v>0.04100010673329524</v>
      </c>
      <c r="D5" s="10">
        <f>Assumptions!B6</f>
        <v>0.04100010673329524</v>
      </c>
      <c r="E5" s="10">
        <f>Assumptions!B6</f>
        <v>0.04100010673329524</v>
      </c>
      <c r="F5" s="10">
        <f>Assumptions!B6</f>
        <v>0.04100010673329524</v>
      </c>
    </row>
    <row r="6" spans="1:6" x14ac:dyDescent="0.25">
      <c r="A6" t="s">
        <v>43</v>
      </c>
      <c r="B6" s="18">
        <f>Assumptions!B29*(1+B5)</f>
        <v>7782516797.938115</v>
      </c>
      <c r="C6" s="18">
        <f>B6*(1+C5)</f>
        <v>8101600817.3072405</v>
      </c>
      <c r="D6" s="18">
        <f>C6*(1+D5)</f>
        <v>8433767315.52739</v>
      </c>
      <c r="E6" s="18">
        <f>D6*(1+E5)</f>
        <v>8779552675.627789</v>
      </c>
      <c r="F6" s="18">
        <f>E6*(1+F5)</f>
        <v>9139515272.399117</v>
      </c>
    </row>
    <row r="7" spans="1:6" x14ac:dyDescent="0.25">
      <c r="A7" t="s">
        <v>5</v>
      </c>
      <c r="B7" s="10">
        <f>Assumptions!B7</f>
        <v>0.27204447340273735</v>
      </c>
      <c r="C7" s="10">
        <f>Assumptions!B7</f>
        <v>0.27204447340273735</v>
      </c>
      <c r="D7" s="10">
        <f>Assumptions!B7</f>
        <v>0.27204447340273735</v>
      </c>
      <c r="E7" s="10">
        <f>Assumptions!B7</f>
        <v>0.27204447340273735</v>
      </c>
      <c r="F7" s="10">
        <f>Assumptions!B7</f>
        <v>0.27204447340273735</v>
      </c>
    </row>
    <row r="8" spans="1:6" x14ac:dyDescent="0.25">
      <c r="A8" t="s">
        <v>44</v>
      </c>
      <c r="B8" s="18">
        <f>B6*B7</f>
        <v>2117190684.0430322</v>
      </c>
      <c r="C8" s="18">
        <f>C6*C7</f>
        <v>2203995728.0635347</v>
      </c>
      <c r="D8" s="18">
        <f>D6*D7</f>
        <v>2294359788.1538663</v>
      </c>
      <c r="E8" s="18">
        <f>E6*E7</f>
        <v>2388428784.3527555</v>
      </c>
      <c r="F8" s="18">
        <f>F6*F7</f>
        <v>2486354619.4360933</v>
      </c>
    </row>
    <row r="9" spans="1:6" x14ac:dyDescent="0.25">
      <c r="A9" t="s">
        <v>45</v>
      </c>
      <c r="B9" s="18">
        <f>B8*(1-Assumptions!B8)</f>
        <v>1673091833.315696</v>
      </c>
      <c r="C9" s="18">
        <f>C8*(1-Assumptions!B8)</f>
        <v>1741688777.0562441</v>
      </c>
      <c r="D9" s="18">
        <f>D8*(1-Assumptions!B8)</f>
        <v>1813098202.8117325</v>
      </c>
      <c r="E9" s="18">
        <f>E8*(1-Assumptions!B8)</f>
        <v>1887435422.6449594</v>
      </c>
      <c r="F9" s="18">
        <f>F8*(1-Assumptions!B8)</f>
        <v>1964820476.425605</v>
      </c>
    </row>
    <row r="10" spans="1:6" x14ac:dyDescent="0.25">
      <c r="A10" t="s">
        <v>46</v>
      </c>
      <c r="B10" s="18">
        <f>B6*Assumptions!B9</f>
        <v>882565142.0342867</v>
      </c>
      <c r="C10" s="18">
        <f>C6*Assumptions!B9</f>
        <v>918750407.0567783</v>
      </c>
      <c r="D10" s="18">
        <f>D6*Assumptions!B9</f>
        <v>956419271.8073647</v>
      </c>
      <c r="E10" s="18">
        <f>E6*Assumptions!B9</f>
        <v>995632564.0332471</v>
      </c>
      <c r="F10" s="18">
        <f>F6*Assumptions!B9</f>
        <v>1036453605.4257547</v>
      </c>
    </row>
    <row r="11" spans="1:6" x14ac:dyDescent="0.25">
      <c r="A11" t="s">
        <v>47</v>
      </c>
      <c r="B11" s="18">
        <f>-B6*Assumptions!B10</f>
        <v>-658189683.2976762</v>
      </c>
      <c r="C11" s="18">
        <f>-C6*Assumptions!B10</f>
        <v>-685175530.5636346</v>
      </c>
      <c r="D11" s="18">
        <f>-D6*Assumptions!B10</f>
        <v>-713267800.4477859</v>
      </c>
      <c r="E11" s="18">
        <f>-E6*Assumptions!B10</f>
        <v>-742511856.3955678</v>
      </c>
      <c r="F11" s="18">
        <f>-F6*Assumptions!B10</f>
        <v>-772954921.7585233</v>
      </c>
    </row>
    <row r="12" spans="1:6" x14ac:dyDescent="0.25">
      <c r="A12" t="s">
        <v>48</v>
      </c>
      <c r="B12" s="18">
        <f>-(B6-Assumptions!B29)*Assumptions!B11</f>
        <v>116264992.321354</v>
      </c>
      <c r="C12" s="18">
        <f>-(C6-B6)*Assumptions!B11</f>
        <v>121031869.41587514</v>
      </c>
      <c r="D12" s="18">
        <f>-(D6-C6)*Assumptions!B11</f>
        <v>125994188.98005652</v>
      </c>
      <c r="E12" s="18">
        <f>-(E6-D6)*Assumptions!B11</f>
        <v>131159964.17601341</v>
      </c>
      <c r="F12" s="18">
        <f>-(F6-E6)*Assumptions!B11</f>
        <v>136537536.70636576</v>
      </c>
    </row>
    <row r="13" spans="1:6" x14ac:dyDescent="0.25">
      <c r="A13" s="19" t="s">
        <v>49</v>
      </c>
      <c r="B13" s="20">
        <f>B9+B10+B11+B12</f>
        <v>2013732284.3736606</v>
      </c>
      <c r="C13" s="20">
        <f>C9+C10+C11+C12</f>
        <v>2096295522.965263</v>
      </c>
      <c r="D13" s="20">
        <f>D9+D10+D11+D12</f>
        <v>2182243863.151368</v>
      </c>
      <c r="E13" s="20">
        <f>E9+E10+E11+E12</f>
        <v>2271716094.458652</v>
      </c>
      <c r="F13" s="20">
        <f>F9+F10+F11+F12</f>
        <v>2364856696.799202</v>
      </c>
    </row>
    <row r="14" spans="1:6" x14ac:dyDescent="0.25">
      <c r="A14" t="s">
        <v>50</v>
      </c>
      <c r="B14" s="21">
        <f>1/(1+Assumptions!$B$26)^(1-0.5*Assumptions!$B$32)</f>
        <v>0.9722263739823789</v>
      </c>
      <c r="C14" s="21">
        <f>1/(1+Assumptions!$B$26)^(2-0.5*Assumptions!$B$32)</f>
        <v>0.9189718209922485</v>
      </c>
      <c r="D14" s="21">
        <f>1/(1+Assumptions!$B$26)^(3-0.5*Assumptions!$B$32)</f>
        <v>0.8686343328854355</v>
      </c>
      <c r="E14" s="21">
        <f>1/(1+Assumptions!$B$26)^(4-0.5*Assumptions!$B$32)</f>
        <v>0.8210541248725511</v>
      </c>
      <c r="F14" s="21">
        <f>1/(1+Assumptions!$B$26)^(5-0.5*Assumptions!$B$32)</f>
        <v>0.7760801645162948</v>
      </c>
    </row>
    <row r="15" spans="1:6" x14ac:dyDescent="0.25">
      <c r="A15" s="19" t="s">
        <v>51</v>
      </c>
      <c r="B15" s="20">
        <f>B13*B14</f>
        <v>1957803637.0078566</v>
      </c>
      <c r="C15" s="20">
        <f>C13*C14</f>
        <v>1926436514.0772855</v>
      </c>
      <c r="D15" s="20">
        <f>D13*D14</f>
        <v>1895571942.2618241</v>
      </c>
      <c r="E15" s="20">
        <f>E13*E14</f>
        <v>1865201869.8946383</v>
      </c>
      <c r="F15" s="20">
        <f>F13*F14</f>
        <v>1835318374.3093863</v>
      </c>
    </row>
    <row r="17" spans="1:2" x14ac:dyDescent="0.25">
      <c r="A17" s="22" t="s">
        <v>52</v>
      </c>
      <c r="B17" s="23">
        <f>SUM(B15:F15)</f>
        <v>9480332337.550991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2364856696.799202</v>
      </c>
    </row>
    <row r="5" spans="1:2" x14ac:dyDescent="0.25">
      <c r="A5" t="s">
        <v>56</v>
      </c>
      <c r="B5" s="18">
        <f>IF(Assumptions!$B$33=0,B4,B4-Forecast!F11-Forecast!F10-Forecast!F12)</f>
        <v>2659975389.9894533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0.23798544550571374</v>
      </c>
    </row>
    <row r="7" spans="1:2" x14ac:dyDescent="0.25">
      <c r="A7" t="s">
        <v>58</v>
      </c>
      <c r="B7" s="18">
        <f>-MAX(Forecast!F9,0)*B6</f>
        <v>-633035428.2208747</v>
      </c>
    </row>
    <row r="8" spans="1:2" x14ac:dyDescent="0.25">
      <c r="A8" t="s">
        <v>59</v>
      </c>
      <c r="B8" s="18">
        <f>IF(OR(Assumptions!$B$33=0,Assumptions!B12&lt;=0),B5,MAX(B5+B7,0))</f>
        <v>2026939961.7685785</v>
      </c>
    </row>
    <row r="9" spans="1:2" x14ac:dyDescent="0.25">
      <c r="A9" t="s">
        <v>60</v>
      </c>
      <c r="B9" s="18">
        <f>B8*(1+Assumptions!B12)/(Assumptions!B26-Assumptions!B12)</f>
        <v>63053236175.008514</v>
      </c>
    </row>
    <row r="10" spans="1:2" x14ac:dyDescent="0.25">
      <c r="A10" t="s">
        <v>61</v>
      </c>
      <c r="B10" s="18">
        <f>B9/(1+Assumptions!B26)^(5-0.5*Assumptions!B32)</f>
        <v>48934365903.9854</v>
      </c>
    </row>
    <row r="11" spans="1:2" x14ac:dyDescent="0.25">
      <c r="A11" t="s">
        <v>62</v>
      </c>
      <c r="B11" s="18">
        <f>Forecast!B17+B10</f>
        <v>58414698241.53639</v>
      </c>
    </row>
    <row r="12" spans="1:2" x14ac:dyDescent="0.25">
      <c r="A12" t="s">
        <v>63</v>
      </c>
      <c r="B12" s="18">
        <f>-Assumptions!B30</f>
        <v>-1907000000</v>
      </c>
    </row>
    <row r="13" spans="1:2" x14ac:dyDescent="0.25">
      <c r="A13" t="s">
        <v>64</v>
      </c>
      <c r="B13" s="18">
        <f>B11+B12</f>
        <v>56507698241.53639</v>
      </c>
    </row>
    <row r="14" spans="1:2" x14ac:dyDescent="0.25">
      <c r="A14" s="19" t="s">
        <v>65</v>
      </c>
      <c r="B14" s="24">
        <f>B13/Assumptions!B31</f>
        <v>127.67455938357936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3522808224.861848</v>
      </c>
    </row>
    <row r="18" spans="1:2" x14ac:dyDescent="0.25">
      <c r="A18" t="s">
        <v>60</v>
      </c>
      <c r="B18" s="18">
        <f>B17*Assumptions!B13</f>
        <v>70456164497.23695</v>
      </c>
    </row>
    <row r="19" spans="1:2" x14ac:dyDescent="0.25">
      <c r="A19" t="s">
        <v>61</v>
      </c>
      <c r="B19" s="18">
        <f>B18/(1+Assumptions!B26)^(5-0.5*Assumptions!B32)</f>
        <v>54679631734.20278</v>
      </c>
    </row>
    <row r="20" spans="1:2" x14ac:dyDescent="0.25">
      <c r="A20" t="s">
        <v>62</v>
      </c>
      <c r="B20" s="18">
        <f>Forecast!B17+B19</f>
        <v>64159964071.75377</v>
      </c>
    </row>
    <row r="21" spans="1:2" x14ac:dyDescent="0.25">
      <c r="A21" t="s">
        <v>63</v>
      </c>
      <c r="B21" s="18">
        <f>-Assumptions!B30</f>
        <v>-1907000000</v>
      </c>
    </row>
    <row r="22" spans="1:2" x14ac:dyDescent="0.25">
      <c r="A22" t="s">
        <v>64</v>
      </c>
      <c r="B22" s="18">
        <f>B20+B21</f>
        <v>62252964071.75377</v>
      </c>
    </row>
    <row r="23" spans="1:2" x14ac:dyDescent="0.25">
      <c r="A23" s="19" t="s">
        <v>65</v>
      </c>
      <c r="B23" s="25">
        <f>B22/Assumptions!B31</f>
        <v>140.65552138063617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132.18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178.51456893012067</v>
      </c>
    </row>
    <row r="29" spans="1:2" x14ac:dyDescent="0.25">
      <c r="A29" s="19" t="s">
        <v>73</v>
      </c>
      <c r="B29" s="12">
        <f>B28/B26-1</f>
        <v>0.3505414505229283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0.03795</v>
      </c>
      <c r="B5" s="31">
        <v>210.83856214927323</v>
      </c>
      <c r="C5" s="31">
        <v>251.97851950039188</v>
      </c>
      <c r="D5" s="31">
        <v>324.6999775903426</v>
      </c>
      <c r="E5" s="31">
        <v>488.59067366220455</v>
      </c>
      <c r="F5" s="31">
        <v>1207.2230042341728</v>
      </c>
    </row>
    <row r="6" spans="1:6" x14ac:dyDescent="0.25">
      <c r="A6" s="30">
        <v>0.04795</v>
      </c>
      <c r="B6" s="31">
        <v>146.1614725154559</v>
      </c>
      <c r="C6" s="31">
        <v>161.4470977674385</v>
      </c>
      <c r="D6" s="31">
        <v>183.29216845712574</v>
      </c>
      <c r="E6" s="31">
        <v>217.17811531240454</v>
      </c>
      <c r="F6" s="31">
        <v>277.0518991428404</v>
      </c>
    </row>
    <row r="7" spans="1:6" x14ac:dyDescent="0.25">
      <c r="A7" s="30">
        <v>0.05795</v>
      </c>
      <c r="B7" s="31">
        <v>111.59803852926154</v>
      </c>
      <c r="C7" s="31">
        <v>118.60673814180313</v>
      </c>
      <c r="D7" s="32">
        <v>127.675132805475</v>
      </c>
      <c r="E7" s="31">
        <v>139.9086044797389</v>
      </c>
      <c r="F7" s="31">
        <v>157.37583094929548</v>
      </c>
    </row>
    <row r="8" spans="1:6" x14ac:dyDescent="0.25">
      <c r="A8" s="30">
        <v>0.06795</v>
      </c>
      <c r="B8" s="31">
        <v>90.08687261328376</v>
      </c>
      <c r="C8" s="31">
        <v>93.62035914199303</v>
      </c>
      <c r="D8" s="31">
        <v>97.92699690924314</v>
      </c>
      <c r="E8" s="31">
        <v>103.31237928995144</v>
      </c>
      <c r="F8" s="31">
        <v>110.26758880921263</v>
      </c>
    </row>
    <row r="9" spans="1:6" x14ac:dyDescent="0.25">
      <c r="A9" s="30">
        <v>0.07795</v>
      </c>
      <c r="B9" s="31">
        <v>75.40780656044946</v>
      </c>
      <c r="C9" s="31">
        <v>77.24587810435018</v>
      </c>
      <c r="D9" s="31">
        <v>79.39254456521833</v>
      </c>
      <c r="E9" s="31">
        <v>81.94434241342954</v>
      </c>
      <c r="F9" s="31">
        <v>85.04276107413268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7476000000</v>
      </c>
      <c r="C5" s="18">
        <v>7258000000</v>
      </c>
      <c r="D5" s="18">
        <v>6794000000</v>
      </c>
      <c r="E5" s="18">
        <v>6627000000</v>
      </c>
      <c r="F5" s="8" t="s">
        <v>84</v>
      </c>
    </row>
    <row r="6" spans="1:6" x14ac:dyDescent="0.25">
      <c r="A6" t="s">
        <v>44</v>
      </c>
      <c r="B6" s="18">
        <v>1989000000</v>
      </c>
      <c r="C6" s="18">
        <v>1896000000</v>
      </c>
      <c r="D6" s="18">
        <v>1950000000</v>
      </c>
      <c r="E6" s="18">
        <v>1815000000</v>
      </c>
      <c r="F6" s="8" t="s">
        <v>85</v>
      </c>
    </row>
    <row r="7" spans="1:6" x14ac:dyDescent="0.25">
      <c r="A7" t="s">
        <v>86</v>
      </c>
      <c r="B7" s="18">
        <v>930000000</v>
      </c>
      <c r="C7" s="18">
        <v>822000000</v>
      </c>
      <c r="D7" s="18">
        <v>725000000</v>
      </c>
      <c r="E7" s="18">
        <v>724000000</v>
      </c>
      <c r="F7" s="8" t="s">
        <v>87</v>
      </c>
    </row>
    <row r="8" spans="1:6" x14ac:dyDescent="0.25">
      <c r="A8" t="s">
        <v>88</v>
      </c>
      <c r="B8" s="18">
        <v>634000000</v>
      </c>
      <c r="C8" s="18">
        <v>607000000</v>
      </c>
      <c r="D8" s="18">
        <v>544000000</v>
      </c>
      <c r="E8" s="18">
        <v>595000000</v>
      </c>
      <c r="F8" s="8" t="s">
        <v>89</v>
      </c>
    </row>
    <row r="9" spans="1:6" x14ac:dyDescent="0.25">
      <c r="A9" t="s">
        <v>90</v>
      </c>
      <c r="B9" s="18">
        <v>-43000000</v>
      </c>
      <c r="C9" s="18">
        <v>-176000000</v>
      </c>
      <c r="D9" s="18">
        <v>-457000000</v>
      </c>
      <c r="E9" s="18">
        <v>-8000000</v>
      </c>
      <c r="F9" s="8" t="s">
        <v>91</v>
      </c>
    </row>
    <row r="10" spans="1:6" x14ac:dyDescent="0.25">
      <c r="A10" t="s">
        <v>92</v>
      </c>
      <c r="B10" s="18">
        <v>2372000000</v>
      </c>
      <c r="C10" s="18">
        <v>3076000000</v>
      </c>
      <c r="D10" s="18">
        <v>3542000000</v>
      </c>
      <c r="E10" s="18">
        <v>4996000000</v>
      </c>
      <c r="F10" s="8" t="s">
        <v>93</v>
      </c>
    </row>
    <row r="11" spans="1:6" x14ac:dyDescent="0.25">
      <c r="A11" t="s">
        <v>94</v>
      </c>
      <c r="B11" s="18">
        <v>465000000</v>
      </c>
      <c r="C11" s="18">
        <v>1888000000</v>
      </c>
      <c r="D11" s="18">
        <v>1264000000</v>
      </c>
      <c r="E11" s="18">
        <v>1192000000</v>
      </c>
      <c r="F11" s="8" t="s">
        <v>95</v>
      </c>
    </row>
    <row r="12" spans="1:6" x14ac:dyDescent="0.25">
      <c r="A12" t="s">
        <v>32</v>
      </c>
      <c r="B12" s="34">
        <v>442591684</v>
      </c>
      <c r="C12" s="34">
        <v>444272352</v>
      </c>
      <c r="D12" s="34">
        <v>456806372</v>
      </c>
      <c r="E12" s="34">
        <v>460233839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2026-09-19T00:07:46Z</dcterms:modified>
</cp:coreProperties>
</file>