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<sst xmlns="http://schemas.openxmlformats.org/spreadsheetml/2006/main" count="121" uniqueCount="108">
  <si>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Trimble Inc. (TRMB)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</si>
  <si>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</si>
  <si>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</si>
  <si>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</si>
  <si>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</si>
  <si>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</si>
  <si>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</si>
  <si>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</si>
  <si>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</si>
  <si>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</si>
  <si>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</si>
  <si>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</si>
  <si>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</si>
  <si>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</si>
  <si>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</si>
  <si>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</si>
  <si>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</si>
  <si>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</si>
  <si>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</si>
  <si>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</si>
  <si>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</si>
  <si>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</si>
  <si>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</si>
  <si>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</si>
  <si>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8.2x interest cover.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</si>
  <si>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</si>
  <si>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</si>
  <si>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</si>
  <si>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</si>
  <si>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</si>
  <si>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</si>
  <si>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</si>
  <si>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</si>
  <si>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</si>
  <si>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</si>
  <si>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</si>
  <si>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</si>
  <si>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</si>
  <si>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</si>
  <si>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</si>
  <si>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</si>
  <si>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</si>
  <si>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</si>
  <si>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</si>
  <si>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</si>
  <si>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</si>
  <si>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</si>
  <si>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</si>
  <si>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</si>
  <si>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</si>
  <si>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</si>
  <si>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</si>
  <si>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</si>
  <si>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</si>
  <si>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</si>
  <si>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</si>
  <si>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</si>
  <si>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</si>
  <si>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</si>
  <si>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</si>
  <si>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</si>
  <si>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</si>
  <si>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</si>
  <si>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</si>
  <si>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</si>
  <si>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</si>
  <si>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</si>
  <si>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</si>
  <si>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</si>
  <si>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</si>
  <si>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</si>
  <si>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</si>
  <si>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</si>
  <si>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</si>
  <si>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</si>
  <si>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</si>
  <si>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</si>
  <si>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</si>
  <si>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</si>
  <si>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</si>
  <si>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</si>
  <si>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</si>
  <si>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</si>
  <si>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</si>
  <si>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</si>
  <si>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</si>
  <si>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</si>
  <si>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</si>
  <si>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</si>
  <si>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</si>
  <si>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</si>
  <si>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</si>
  <si>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</si>
  <si>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</si>
  <si>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</si>
  <si>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</si>
  <si>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</si>
  <si>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</si>
  <si>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</si>
  <si>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</si>
  <si>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</si>
  <si>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</si>
  <si>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</si>
  <si>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</si>
  <si>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</si>
  <si>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0.97% of revenue, which is too low to be the company's real investment - property trusts and similar structures invest through lines that are not reported as capex. Capex has been set to 1.05% of revenue so the forecast is not handed free growth. Override it if the reported figure is right.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</si>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</sst>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0.09571668385693965</v>
      </c>
    </row>
    <row r="7" spans="1:2" x14ac:dyDescent="0.25">
      <c r="A7" t="s">
        <v>4</v>
      </c>
      <c r="B7" s="5">
        <v>0.14428434155971712</v>
      </c>
    </row>
    <row r="8" spans="1:2" x14ac:dyDescent="0.25">
      <c r="A8" t="s">
        <v>5</v>
      </c>
      <c r="B8" s="5">
        <v>0.1887265843885092</v>
      </c>
    </row>
    <row r="9" spans="1:2" x14ac:dyDescent="0.25">
      <c r="A9" t="s">
        <v>6</v>
      </c>
      <c r="B9" s="5">
        <v>0.05785326543379939</v>
      </c>
    </row>
    <row r="10" spans="1:3" x14ac:dyDescent="0.25">
      <c r="A10" t="s">
        <v>7</v>
      </c>
      <c r="B10" s="5">
        <v>0.01050865199453439</v>
      </c>
      <c r="C10" s="6" t="s">
        <v>8</v>
      </c>
    </row>
    <row r="11" spans="1:2" x14ac:dyDescent="0.25">
      <c r="A11" t="s">
        <v>9</v>
      </c>
      <c r="B11" s="5">
        <v>0.22133102490847112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0.09617893616940876</v>
      </c>
      <c r="C14" s="6" t="s">
        <v>13</v>
      </c>
    </row>
    <row r="15" spans="1:3" x14ac:dyDescent="0.25">
      <c r="A15" t="s">
        <v>14</v>
      </c>
      <c r="B15" s="5">
        <v>0.01050865199453439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1.22981</v>
      </c>
      <c r="C19" s="6" t="s">
        <v>21</v>
      </c>
    </row>
    <row r="20" spans="1:2" x14ac:dyDescent="0.25">
      <c r="A20" t="s">
        <v>22</v>
      </c>
      <c r="B20" s="9">
        <f>B17+B19*B18</f>
        <v>0.100960963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15142699008</v>
      </c>
    </row>
    <row r="23" spans="1:2" x14ac:dyDescent="0.25">
      <c r="A23" t="s">
        <v>26</v>
      </c>
      <c r="B23" s="10">
        <v>1392200000</v>
      </c>
    </row>
    <row r="24" spans="1:2" x14ac:dyDescent="0.25">
      <c r="A24" t="s">
        <v>27</v>
      </c>
      <c r="B24" s="9">
        <f>B22/(B22+B23)</f>
        <v>0.9158023281952663</v>
      </c>
    </row>
    <row r="25" spans="1:2" x14ac:dyDescent="0.25">
      <c r="A25" t="s">
        <v>28</v>
      </c>
      <c r="B25" s="9">
        <f>1-B24</f>
        <v>0.0841976718047337</v>
      </c>
    </row>
    <row r="26" spans="1:2" x14ac:dyDescent="0.25">
      <c r="A26" t="s">
        <v>29</v>
      </c>
      <c r="B26" s="11">
        <f>B24*B20+B25*B21*(1-B8)</f>
        <v>0.09617893616940876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3587300000</v>
      </c>
      <c r="C29" s="6" t="s">
        <v>32</v>
      </c>
    </row>
    <row r="30" spans="1:2" x14ac:dyDescent="0.25">
      <c r="A30" t="s">
        <v>33</v>
      </c>
      <c r="B30" s="10">
        <v>1138800000</v>
      </c>
    </row>
    <row r="31" spans="1:2" x14ac:dyDescent="0.25">
      <c r="A31" t="s">
        <v>34</v>
      </c>
      <c r="B31" s="12">
        <v>241500000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0.09571668385693965</v>
      </c>
      <c r="C5" s="5">
        <v>0.07870570310649216</v>
      </c>
      <c r="D5" s="5">
        <v>0.07199249021818065</v>
      </c>
      <c r="E5" s="5">
        <v>0.06527927732986913</v>
      </c>
      <c r="F5" s="5">
        <v>0.058566064441557604</v>
      </c>
      <c r="G5" s="5">
        <v>0.05185285155324608</v>
      </c>
      <c r="H5" s="5">
        <v>0.04513963866493456</v>
      </c>
      <c r="I5" s="5">
        <v>0.038426425776623044</v>
      </c>
      <c r="J5" s="5">
        <v>0.03171321288831152</v>
      </c>
      <c r="K5" s="5">
        <v>0.025</v>
      </c>
    </row>
    <row r="6" spans="1:11" x14ac:dyDescent="0.25">
      <c r="A6" t="s">
        <v>50</v>
      </c>
      <c r="B6" s="18">
        <f>Assumptions!B29*(1+B5)</f>
        <v>3930664459.9999995</v>
      </c>
      <c r="C6" s="18">
        <f>B6*(1+C5)</f>
        <v>4240030170</v>
      </c>
      <c r="D6" s="18">
        <f>C6*(1+D5)</f>
        <v>4545280500.538515</v>
      </c>
      <c r="E6" s="18">
        <f>D6*(1+E5)</f>
        <v>4841993126.875216</v>
      </c>
      <c r="F6" s="18">
        <f>E6*(1+F5)</f>
        <v>5125569608.369369</v>
      </c>
      <c r="G6" s="18">
        <f>F6*(1+G5)</f>
        <v>5391345008.397975</v>
      </c>
      <c r="H6" s="18">
        <f>G6*(1+H5)</f>
        <v>5634708373.995058</v>
      </c>
      <c r="I6" s="18">
        <f>H6*(1+I5)</f>
        <v>5851230077.101296</v>
      </c>
      <c r="J6" s="18">
        <f>I6*(1+J5)</f>
        <v>6036791382.194901</v>
      </c>
      <c r="K6" s="18">
        <f>J6*(1+K5)</f>
        <v>6187711166.749773</v>
      </c>
    </row>
    <row r="7" spans="1:11" x14ac:dyDescent="0.25">
      <c r="A7" t="s">
        <v>4</v>
      </c>
      <c r="B7" s="9">
        <f>Assumptions!B7</f>
        <v>0.14428434155971712</v>
      </c>
      <c r="C7" s="9">
        <f>Assumptions!B7</f>
        <v>0.14428434155971712</v>
      </c>
      <c r="D7" s="9">
        <f>Assumptions!B7</f>
        <v>0.14428434155971712</v>
      </c>
      <c r="E7" s="9">
        <f>Assumptions!B7</f>
        <v>0.14428434155971712</v>
      </c>
      <c r="F7" s="9">
        <f>Assumptions!B7</f>
        <v>0.14428434155971712</v>
      </c>
      <c r="G7" s="9">
        <f>Assumptions!B7</f>
        <v>0.14428434155971712</v>
      </c>
      <c r="H7" s="9">
        <f>Assumptions!B7</f>
        <v>0.14428434155971712</v>
      </c>
      <c r="I7" s="9">
        <f>Assumptions!B7</f>
        <v>0.14428434155971712</v>
      </c>
      <c r="J7" s="9">
        <f>Assumptions!B7</f>
        <v>0.14428434155971712</v>
      </c>
      <c r="K7" s="9">
        <f>Assumptions!B7</f>
        <v>0.14428434155971712</v>
      </c>
    </row>
    <row r="8" spans="1:11" x14ac:dyDescent="0.25">
      <c r="A8" t="s">
        <v>51</v>
      </c>
      <c r="B8" s="18">
        <f>B6*B7</f>
        <v>567133333.503281</v>
      </c>
      <c r="C8" s="18">
        <f>C6*C7</f>
        <v>611769961.2717854</v>
      </c>
      <c r="D8" s="18">
        <f>D6*D7</f>
        <v>655812804.2244211</v>
      </c>
      <c r="E8" s="18">
        <f>E6*E7</f>
        <v>698623790.1478662</v>
      </c>
      <c r="F8" s="18">
        <f>F6*F7</f>
        <v>739539436.0620714</v>
      </c>
      <c r="G8" s="18">
        <f>G6*G7</f>
        <v>777886664.6579694</v>
      </c>
      <c r="H8" s="18">
        <f>H6*H7</f>
        <v>813000187.6229012</v>
      </c>
      <c r="I8" s="18">
        <f>I6*I7</f>
        <v>844240878.9889734</v>
      </c>
      <c r="J8" s="18">
        <f>J6*J7</f>
        <v>871014469.7133659</v>
      </c>
      <c r="K8" s="18">
        <f>K6*K7</f>
        <v>892789831.4562</v>
      </c>
    </row>
    <row r="9" spans="1:11" x14ac:dyDescent="0.25">
      <c r="A9" t="s">
        <v>52</v>
      </c>
      <c r="B9" s="18">
        <f>B8*(1-Assumptions!B8)</f>
        <v>460100196.5783375</v>
      </c>
      <c r="C9" s="18">
        <f>C8*(1-Assumptions!B8)</f>
        <v>496312706.0494708</v>
      </c>
      <c r="D9" s="18">
        <f>D8*(1-Assumptions!B8)</f>
        <v>532043493.68489605</v>
      </c>
      <c r="E9" s="18">
        <f>E8*(1-Assumptions!B8)</f>
        <v>566774908.4607048</v>
      </c>
      <c r="F9" s="18">
        <f>F8*(1-Assumptions!B8)</f>
        <v>599968684.2734724</v>
      </c>
      <c r="G9" s="18">
        <f>G8*(1-Assumptions!B8)</f>
        <v>631078771.3957012</v>
      </c>
      <c r="H9" s="18">
        <f>H8*(1-Assumptions!B8)</f>
        <v>659565439.105614</v>
      </c>
      <c r="I9" s="18">
        <f>I8*(1-Assumptions!B8)</f>
        <v>684910181.4962317</v>
      </c>
      <c r="J9" s="18">
        <f>J8*(1-Assumptions!B8)</f>
        <v>706630883.8913938</v>
      </c>
      <c r="K9" s="18">
        <f>K8*(1-Assumptions!B8)</f>
        <v>724296655.9886786</v>
      </c>
    </row>
    <row r="10" spans="1:11" x14ac:dyDescent="0.25">
      <c r="A10" t="s">
        <v>53</v>
      </c>
      <c r="B10" s="18">
        <f>B6*Assumptions!B9</f>
        <v>227401774.33558172</v>
      </c>
      <c r="C10" s="18">
        <f>C6*Assumptions!B9</f>
        <v>245299590.87232757</v>
      </c>
      <c r="D10" s="18">
        <f>D6*Assumptions!B9</f>
        <v>262959319.26872727</v>
      </c>
      <c r="E10" s="18">
        <f>E6*Assumptions!B9</f>
        <v>280125113.59774417</v>
      </c>
      <c r="F10" s="18">
        <f>F6*Assumptions!B9</f>
        <v>296530939.0524083</v>
      </c>
      <c r="G10" s="18">
        <f>G6*Assumptions!B9</f>
        <v>311906913.8160375</v>
      </c>
      <c r="H10" s="18">
        <f>H6*Assumptions!B9</f>
        <v>325986279.2027883</v>
      </c>
      <c r="I10" s="18">
        <f>I6*Assumptions!B9</f>
        <v>338512766.7647718</v>
      </c>
      <c r="J10" s="18">
        <f>J6*Assumptions!B9</f>
        <v>349248094.20259434</v>
      </c>
      <c r="K10" s="18">
        <f>K6*Assumptions!B9</f>
        <v>357979296.55765915</v>
      </c>
    </row>
    <row r="11" spans="1:11" x14ac:dyDescent="0.25">
      <c r="A11" t="s">
        <v>54</v>
      </c>
      <c r="B11" s="18">
        <f>-B6*B19</f>
        <v>-41305984.91742443</v>
      </c>
      <c r="C11" s="18">
        <f>-C6*C19</f>
        <v>-63594717.91513252</v>
      </c>
      <c r="D11" s="18">
        <f>-D6*D19</f>
        <v>-88581349.04742894</v>
      </c>
      <c r="E11" s="18">
        <f>-E6*E19</f>
        <v>-116104402.88209549</v>
      </c>
      <c r="F11" s="18">
        <f>-F6*F19</f>
        <v>-145917965.33494395</v>
      </c>
      <c r="G11" s="18">
        <f>-G6*G19</f>
        <v>-177691342.79407954</v>
      </c>
      <c r="H11" s="18">
        <f>-H6*H19</f>
        <v>-211012081.08342898</v>
      </c>
      <c r="I11" s="18">
        <f>-I6*I19</f>
        <v>-245392517.91097587</v>
      </c>
      <c r="J11" s="18">
        <f>-J6*J19</f>
        <v>-280279869.2546276</v>
      </c>
      <c r="K11" s="18">
        <f>-K6*K19</f>
        <v>-315069661.32248396</v>
      </c>
    </row>
    <row r="12" spans="1:11" x14ac:dyDescent="0.25">
      <c r="A12" t="s">
        <v>55</v>
      </c>
      <c r="B12" s="18">
        <f>-(B6-Assumptions!B29)*Assumptions!B11</f>
        <v>-75997207.84894364</v>
      </c>
      <c r="C12" s="18">
        <f>-(C6-B6)*Assumptions!B11</f>
        <v>-68472229.66583696</v>
      </c>
      <c r="D12" s="18">
        <f>-(D6-C6)*Assumptions!B11</f>
        <v>-67561368.51173912</v>
      </c>
      <c r="E12" s="18">
        <f>-(E6-D6)*Assumptions!B11</f>
        <v>-65671709.69038613</v>
      </c>
      <c r="F12" s="18">
        <f>-(F6-E6)*Assumptions!B11</f>
        <v>-62764273.28903898</v>
      </c>
      <c r="G12" s="18">
        <f>-(G6-F6)*Assumptions!B11</f>
        <v>-58824341.68379036</v>
      </c>
      <c r="H12" s="18">
        <f>-(H6-G6)*Assumptions!B11</f>
        <v>-53863863.13277736</v>
      </c>
      <c r="I12" s="18">
        <f>-(I6-H6)*Assumptions!B11</f>
        <v>-47922970.46343143</v>
      </c>
      <c r="J12" s="18">
        <f>-(J6-I6)*Assumptions!B11</f>
        <v>-41070473.839721106</v>
      </c>
      <c r="K12" s="18">
        <f>-(K6-J6)*Assumptions!B11</f>
        <v>-33403230.59449537</v>
      </c>
    </row>
    <row r="13" spans="1:11" x14ac:dyDescent="0.25">
      <c r="A13" s="19" t="s">
        <v>56</v>
      </c>
      <c r="B13" s="20">
        <f>B9+B10+B11+B12</f>
        <v>570198778.1475512</v>
      </c>
      <c r="C13" s="20">
        <f>C9+C10+C11+C12</f>
        <v>609545349.3408289</v>
      </c>
      <c r="D13" s="20">
        <f>D9+D10+D11+D12</f>
        <v>638860095.3944552</v>
      </c>
      <c r="E13" s="20">
        <f>E9+E10+E11+E12</f>
        <v>665123909.4859674</v>
      </c>
      <c r="F13" s="20">
        <f>F9+F10+F11+F12</f>
        <v>687817384.7018977</v>
      </c>
      <c r="G13" s="20">
        <f>G9+G10+G11+G12</f>
        <v>706470000.7338687</v>
      </c>
      <c r="H13" s="20">
        <f>H9+H10+H11+H12</f>
        <v>720675774.092196</v>
      </c>
      <c r="I13" s="20">
        <f>I9+I10+I11+I12</f>
        <v>730107459.8865961</v>
      </c>
      <c r="J13" s="20">
        <f>J9+J10+J11+J12</f>
        <v>734528634.9996395</v>
      </c>
      <c r="K13" s="20">
        <f>K9+K10+K11+K12</f>
        <v>733803060.6293582</v>
      </c>
    </row>
    <row r="14" spans="1:11" x14ac:dyDescent="0.25">
      <c r="A14" t="s">
        <v>57</v>
      </c>
      <c r="B14" s="21">
        <f>1/(1+Assumptions!$B$26)^(1-0.5*Assumptions!$B$32)</f>
        <v>0.9551229349745305</v>
      </c>
      <c r="C14" s="21">
        <f>1/(1+Assumptions!$B$26)^(2-0.5*Assumptions!$B$32)</f>
        <v>0.8713202776110646</v>
      </c>
      <c r="D14" s="21">
        <f>1/(1+Assumptions!$B$26)^(3-0.5*Assumptions!$B$32)</f>
        <v>0.7948704804125213</v>
      </c>
      <c r="E14" s="21">
        <f>1/(1+Assumptions!$B$26)^(4-0.5*Assumptions!$B$32)</f>
        <v>0.7251284021112391</v>
      </c>
      <c r="F14" s="21">
        <f>1/(1+Assumptions!$B$26)^(5-0.5*Assumptions!$B$32)</f>
        <v>0.661505506249916</v>
      </c>
      <c r="G14" s="21">
        <f>1/(1+Assumptions!$B$26)^(6-0.5*Assumptions!$B$32)</f>
        <v>0.6034648946654123</v>
      </c>
      <c r="H14" s="21">
        <f>1/(1+Assumptions!$B$26)^(7-0.5*Assumptions!$B$32)</f>
        <v>0.550516776735573</v>
      </c>
      <c r="I14" s="21">
        <f>1/(1+Assumptions!$B$26)^(8-0.5*Assumptions!$B$32)</f>
        <v>0.5022143361551453</v>
      </c>
      <c r="J14" s="21">
        <f>1/(1+Assumptions!$B$26)^(9-0.5*Assumptions!$B$32)</f>
        <v>0.45814996036151767</v>
      </c>
      <c r="K14" s="21">
        <f>1/(1+Assumptions!$B$26)^(10-0.5*Assumptions!$B$32)</f>
        <v>0.4179518007913199</v>
      </c>
    </row>
    <row r="15" spans="1:11" x14ac:dyDescent="0.25">
      <c r="A15" s="19" t="s">
        <v>58</v>
      </c>
      <c r="B15" s="20">
        <f>B13*B14</f>
        <v>544609930.5031803</v>
      </c>
      <c r="C15" s="20">
        <f>C13*C14</f>
        <v>531109223.00418437</v>
      </c>
      <c r="D15" s="20">
        <f>D13*D14</f>
        <v>507811030.9425798</v>
      </c>
      <c r="E15" s="20">
        <f>E13*E14</f>
        <v>482300237.69153994</v>
      </c>
      <c r="F15" s="20">
        <f>F13*F14</f>
        <v>454994987.2747221</v>
      </c>
      <c r="G15" s="20">
        <f>G13*G14</f>
        <v>426329844.5771378</v>
      </c>
      <c r="H15" s="20">
        <f>H13*H14</f>
        <v>396744104.22464967</v>
      </c>
      <c r="I15" s="20">
        <f>I13*I14</f>
        <v>366670433.2888662</v>
      </c>
      <c r="J15" s="20">
        <f>J13*J14</f>
        <v>336524265.0094845</v>
      </c>
      <c r="K15" s="20">
        <f>K13*K14</f>
        <v>306694310.6162223</v>
      </c>
    </row>
    <row r="17" spans="1:2" x14ac:dyDescent="0.25">
      <c r="A17" s="22" t="s">
        <v>59</v>
      </c>
      <c r="B17" s="23">
        <f>SUM(B15:K15)</f>
        <v>4353788367.132566</v>
      </c>
    </row>
    <row r="19" spans="1:11" x14ac:dyDescent="0.25">
      <c r="A19" t="s">
        <v>7</v>
      </c>
      <c r="B19" s="9">
        <f>Assumptions!$B$10+($B$20-Assumptions!$B$10)*0/9</f>
        <v>0.01050865199453439</v>
      </c>
      <c r="C19" s="9">
        <f>Assumptions!$B$10+($B$20-Assumptions!$B$10)*1/9</f>
        <v>0.014998647501400331</v>
      </c>
      <c r="D19" s="9">
        <f>Assumptions!$B$10+($B$20-Assumptions!$B$10)*2/9</f>
        <v>0.01948864300826627</v>
      </c>
      <c r="E19" s="9">
        <f>Assumptions!$B$10+($B$20-Assumptions!$B$10)*3/9</f>
        <v>0.02397863851513221</v>
      </c>
      <c r="F19" s="9">
        <f>Assumptions!$B$10+($B$20-Assumptions!$B$10)*4/9</f>
        <v>0.028468634021998153</v>
      </c>
      <c r="G19" s="9">
        <f>Assumptions!$B$10+($B$20-Assumptions!$B$10)*5/9</f>
        <v>0.032958629528864095</v>
      </c>
      <c r="H19" s="9">
        <f>Assumptions!$B$10+($B$20-Assumptions!$B$10)*6/9</f>
        <v>0.03744862503573003</v>
      </c>
      <c r="I19" s="9">
        <f>Assumptions!$B$10+($B$20-Assumptions!$B$10)*7/9</f>
        <v>0.04193862054259598</v>
      </c>
      <c r="J19" s="9">
        <f>Assumptions!$B$10+($B$20-Assumptions!$B$10)*8/9</f>
        <v>0.04642861604946191</v>
      </c>
      <c r="K19" s="9">
        <f>Assumptions!$B$10+($B$20-Assumptions!$B$10)*9/9</f>
        <v>0.05091861155632786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0.05091861155632786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733803060.6293582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961963091.7393905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0.2599321742960976</v>
      </c>
    </row>
    <row r="7" spans="1:2" x14ac:dyDescent="0.25">
      <c r="A7" t="s">
        <v>66</v>
      </c>
      <c r="B7" s="18">
        <f>-MAX(B5,0)*B6</f>
        <v>-250045158.0284162</v>
      </c>
    </row>
    <row r="8" spans="1:2" x14ac:dyDescent="0.25">
      <c r="A8" t="s">
        <v>67</v>
      </c>
      <c r="B8" s="18">
        <f>IF(OR(Assumptions!$B$33=0,Assumptions!B12&lt;=0),B5,MAX(B5+B7,0))</f>
        <v>711917933.7109743</v>
      </c>
    </row>
    <row r="9" spans="1:2" x14ac:dyDescent="0.25">
      <c r="A9" t="s">
        <v>68</v>
      </c>
      <c r="B9" s="18">
        <f>B8*(1+Assumptions!B12)/(Assumptions!B26-Assumptions!B12)</f>
        <v>10251851479.16506</v>
      </c>
    </row>
    <row r="10" spans="1:2" x14ac:dyDescent="0.25">
      <c r="A10" t="s">
        <v>69</v>
      </c>
      <c r="B10" s="18">
        <f>B9/(1+Assumptions!B26)^(10-0.5*Assumptions!B32)</f>
        <v>4284779787.1621933</v>
      </c>
    </row>
    <row r="11" spans="1:2" x14ac:dyDescent="0.25">
      <c r="A11" t="s">
        <v>70</v>
      </c>
      <c r="B11" s="18">
        <f>Forecast!B17+B10</f>
        <v>8638568154.29476</v>
      </c>
    </row>
    <row r="12" spans="1:2" x14ac:dyDescent="0.25">
      <c r="A12" t="s">
        <v>71</v>
      </c>
      <c r="B12" s="18">
        <f>-Assumptions!B30</f>
        <v>-1138800000</v>
      </c>
    </row>
    <row r="13" spans="1:2" x14ac:dyDescent="0.25">
      <c r="A13" t="s">
        <v>72</v>
      </c>
      <c r="B13" s="18">
        <f>B11+B12</f>
        <v>7499768154.29476</v>
      </c>
    </row>
    <row r="14" spans="1:2" x14ac:dyDescent="0.25">
      <c r="A14" s="19" t="s">
        <v>73</v>
      </c>
      <c r="B14" s="24">
        <f>B13/Assumptions!B31</f>
        <v>31.05494059749383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1250769128.0138593</v>
      </c>
    </row>
    <row r="18" spans="1:2" x14ac:dyDescent="0.25">
      <c r="A18" t="s">
        <v>68</v>
      </c>
      <c r="B18" s="18">
        <f>B17*Assumptions!B13</f>
        <v>25015382560.277184</v>
      </c>
    </row>
    <row r="19" spans="1:2" x14ac:dyDescent="0.25">
      <c r="A19" t="s">
        <v>69</v>
      </c>
      <c r="B19" s="18">
        <f>B18/(1+Assumptions!B26)^(10-0.5*Assumptions!B32)</f>
        <v>10455224188.551626</v>
      </c>
    </row>
    <row r="20" spans="1:2" x14ac:dyDescent="0.25">
      <c r="A20" t="s">
        <v>70</v>
      </c>
      <c r="B20" s="18">
        <f>Forecast!B17+B19</f>
        <v>14809012555.684193</v>
      </c>
    </row>
    <row r="21" spans="1:2" x14ac:dyDescent="0.25">
      <c r="A21" t="s">
        <v>71</v>
      </c>
      <c r="B21" s="18">
        <f>-Assumptions!B30</f>
        <v>-1138800000</v>
      </c>
    </row>
    <row r="22" spans="1:2" x14ac:dyDescent="0.25">
      <c r="A22" t="s">
        <v>72</v>
      </c>
      <c r="B22" s="18">
        <f>B20+B21</f>
        <v>13670212555.684193</v>
      </c>
    </row>
    <row r="23" spans="1:2" x14ac:dyDescent="0.25">
      <c r="A23" s="19" t="s">
        <v>73</v>
      </c>
      <c r="B23" s="25">
        <f>B22/Assumptions!B31</f>
        <v>56.605435013185065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64.94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31.05494059749383</v>
      </c>
    </row>
    <row r="29" spans="1:2" x14ac:dyDescent="0.25">
      <c r="A29" s="19" t="s">
        <v>81</v>
      </c>
      <c r="B29" s="11">
        <f>B28/B26-1</f>
        <v>-0.5217902587389309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0.076179</v>
      </c>
      <c r="B5" s="31">
        <v>42.004885905048916</v>
      </c>
      <c r="C5" s="31">
        <v>41.41428285978263</v>
      </c>
      <c r="D5" s="31">
        <v>40.82367981451633</v>
      </c>
      <c r="E5" s="31">
        <v>40.23307676925003</v>
      </c>
      <c r="F5" s="31">
        <v>39.64247372398375</v>
      </c>
    </row>
    <row r="6" spans="1:6" x14ac:dyDescent="0.25">
      <c r="A6" s="30">
        <v>0.086179</v>
      </c>
      <c r="B6" s="31">
        <v>36.353323115085296</v>
      </c>
      <c r="C6" s="31">
        <v>35.859636403357776</v>
      </c>
      <c r="D6" s="31">
        <v>35.365949691630234</v>
      </c>
      <c r="E6" s="31">
        <v>34.87226297990272</v>
      </c>
      <c r="F6" s="31">
        <v>34.37857626817519</v>
      </c>
    </row>
    <row r="7" spans="1:6" x14ac:dyDescent="0.25">
      <c r="A7" s="30">
        <v>0.096179</v>
      </c>
      <c r="B7" s="31">
        <v>31.892239287968497</v>
      </c>
      <c r="C7" s="31">
        <v>31.473577632536482</v>
      </c>
      <c r="D7" s="32">
        <v>31.054915977104464</v>
      </c>
      <c r="E7" s="31">
        <v>30.63625432167245</v>
      </c>
      <c r="F7" s="31">
        <v>30.21759266624043</v>
      </c>
    </row>
    <row r="8" spans="1:6" x14ac:dyDescent="0.25">
      <c r="A8" s="30">
        <v>0.106179</v>
      </c>
      <c r="B8" s="31">
        <v>28.2844022927787</v>
      </c>
      <c r="C8" s="31">
        <v>27.925184999013343</v>
      </c>
      <c r="D8" s="31">
        <v>27.565967705247992</v>
      </c>
      <c r="E8" s="31">
        <v>27.206750411482645</v>
      </c>
      <c r="F8" s="31">
        <v>26.847533117717283</v>
      </c>
    </row>
    <row r="9" spans="1:6" x14ac:dyDescent="0.25">
      <c r="A9" s="30">
        <v>0.116179</v>
      </c>
      <c r="B9" s="31">
        <v>25.308744586801605</v>
      </c>
      <c r="C9" s="31">
        <v>24.997518557682763</v>
      </c>
      <c r="D9" s="31">
        <v>24.686292528563932</v>
      </c>
      <c r="E9" s="31">
        <v>24.375066499445097</v>
      </c>
      <c r="F9" s="31">
        <v>24.06384047032625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3587300000</v>
      </c>
      <c r="C5" s="18">
        <v>3683300000</v>
      </c>
      <c r="D5" s="18">
        <v>3798700000</v>
      </c>
      <c r="E5" s="18">
        <v>3676300000</v>
      </c>
      <c r="F5" s="6" t="s">
        <v>91</v>
      </c>
    </row>
    <row r="6" spans="1:6" x14ac:dyDescent="0.25">
      <c r="A6" t="s">
        <v>51</v>
      </c>
      <c r="B6" s="18">
        <v>611300000</v>
      </c>
      <c r="C6" s="18">
        <v>476600000</v>
      </c>
      <c r="D6" s="18">
        <v>494400000</v>
      </c>
      <c r="E6" s="18">
        <v>541100000</v>
      </c>
      <c r="F6" s="6" t="s">
        <v>92</v>
      </c>
    </row>
    <row r="7" spans="1:6" x14ac:dyDescent="0.25">
      <c r="A7" t="s">
        <v>93</v>
      </c>
      <c r="B7" s="18">
        <v>199900000</v>
      </c>
      <c r="C7" s="18">
        <v>232000000</v>
      </c>
      <c r="D7" s="18">
        <v>250600000</v>
      </c>
      <c r="E7" s="18">
        <v>171800000</v>
      </c>
      <c r="F7" s="6" t="s">
        <v>94</v>
      </c>
    </row>
    <row r="8" spans="1:6" x14ac:dyDescent="0.25">
      <c r="A8" t="s">
        <v>95</v>
      </c>
      <c r="B8" s="18">
        <v>25300000</v>
      </c>
      <c r="C8" s="18">
        <v>33600000</v>
      </c>
      <c r="D8" s="18">
        <v>42000000</v>
      </c>
      <c r="E8" s="18">
        <v>43200000</v>
      </c>
      <c r="F8" s="6" t="s">
        <v>96</v>
      </c>
    </row>
    <row r="9" spans="1:6" x14ac:dyDescent="0.25">
      <c r="A9" t="s">
        <v>97</v>
      </c>
      <c r="B9" s="18">
        <v>472000000</v>
      </c>
      <c r="C9" s="18">
        <v>-203400000</v>
      </c>
      <c r="D9" s="18">
        <v>8000000</v>
      </c>
      <c r="E9" s="18">
        <v>253400000</v>
      </c>
      <c r="F9" s="6" t="s">
        <v>98</v>
      </c>
    </row>
    <row r="10" spans="1:6" x14ac:dyDescent="0.25">
      <c r="A10" t="s">
        <v>99</v>
      </c>
      <c r="B10" s="18">
        <v>1392200000</v>
      </c>
      <c r="C10" s="18">
        <v>1390600000</v>
      </c>
      <c r="D10" s="18">
        <v>3188500000</v>
      </c>
      <c r="E10" s="18">
        <v>1625100000</v>
      </c>
      <c r="F10" s="6" t="s">
        <v>100</v>
      </c>
    </row>
    <row r="11" spans="1:6" x14ac:dyDescent="0.25">
      <c r="A11" t="s">
        <v>101</v>
      </c>
      <c r="B11" s="18">
        <v>253400000</v>
      </c>
      <c r="C11" s="18">
        <v>738800000</v>
      </c>
      <c r="D11" s="18">
        <v>229800000</v>
      </c>
      <c r="E11" s="18">
        <v>271000000</v>
      </c>
      <c r="F11" s="6" t="s">
        <v>102</v>
      </c>
    </row>
    <row r="12" spans="1:6" x14ac:dyDescent="0.25">
      <c r="A12" t="s">
        <v>34</v>
      </c>
      <c r="B12" s="34">
        <v>241500000</v>
      </c>
      <c r="C12" s="34">
        <v>247200000</v>
      </c>
      <c r="D12" s="34">
        <v>249100000</v>
      </c>
      <c r="E12" s="34">
        <v>250200000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