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<sst xmlns="http://schemas.openxmlformats.org/spreadsheetml/2006/main" count="112" uniqueCount="100">
  <si>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Trimble Inc. (TRMB)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</si>
  <si>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</si>
  <si>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</si>
  <si>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</si>
  <si>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</si>
  <si>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</si>
  <si>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</si>
  <si>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</si>
  <si>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</si>
  <si>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</si>
  <si>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</si>
  <si>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</si>
  <si>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</si>
  <si>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</si>
  <si>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</si>
  <si>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</si>
  <si>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</si>
  <si>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</si>
  <si>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</si>
  <si>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</si>
  <si>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</si>
  <si>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</si>
  <si>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</si>
  <si>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</si>
  <si>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</si>
  <si>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</si>
  <si>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</si>
  <si>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</si>
  <si>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</si>
  <si>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</si>
  <si>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</si>
  <si>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</si>
  <si>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</si>
  <si>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</si>
  <si>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</si>
  <si>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</si>
  <si>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</si>
  <si>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</si>
  <si>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</si>
  <si>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</si>
  <si>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</si>
  <si>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</si>
  <si>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</si>
  <si>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</si>
  <si>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</si>
  <si>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</si>
  <si>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</si>
  <si>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</si>
  <si>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</si>
  <si>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</si>
  <si>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</si>
  <si>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</si>
  <si>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</si>
  <si>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</si>
  <si>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</si>
  <si>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</si>
  <si>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</si>
  <si>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</si>
  <si>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</si>
  <si>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</si>
  <si>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</si>
  <si>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</si>
  <si>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</si>
  <si>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</si>
  <si>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</si>
  <si>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</si>
  <si>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</si>
  <si>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</si>
  <si>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</si>
  <si>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</si>
  <si>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</si>
  <si>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</si>
  <si>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</si>
  <si>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</si>
  <si>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</si>
  <si>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</si>
  <si>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</si>
  <si>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</si>
  <si>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</si>
  <si>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</si>
  <si>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</si>
  <si>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</si>
  <si>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</si>
  <si>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</si>
  <si>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</si>
  <si>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</si>
  <si>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</si>
  <si>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</si>
  <si>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</si>
  <si>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</si>
  <si>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</si>
  <si>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</si>
  <si>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</si>
  <si>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</si>
  <si>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</si>
  <si>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</si>
  <si>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</si>
  <si>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</si>
  <si>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0.97% of revenue, which is too low to be the company's real investment - property trusts and similar structures invest through lines that are not reported as capex. Capex has been set to 1.05%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</si>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</sst>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-0.008135718177214146</v>
      </c>
    </row>
    <row r="7" spans="1:2" x14ac:dyDescent="0.25">
      <c r="A7" t="s">
        <v>5</v>
      </c>
      <c r="B7" s="6">
        <v>0.14428434155971712</v>
      </c>
    </row>
    <row r="8" spans="1:2" x14ac:dyDescent="0.25">
      <c r="A8" t="s">
        <v>6</v>
      </c>
      <c r="B8" s="6">
        <v>0.1887265843885092</v>
      </c>
    </row>
    <row r="9" spans="1:2" x14ac:dyDescent="0.25">
      <c r="A9" t="s">
        <v>7</v>
      </c>
      <c r="B9" s="6">
        <v>0.05785326543379939</v>
      </c>
    </row>
    <row r="10" spans="1:2" x14ac:dyDescent="0.25">
      <c r="A10" t="s">
        <v>8</v>
      </c>
      <c r="B10" s="6">
        <v>0.01050865199453439</v>
      </c>
    </row>
    <row r="11" spans="1:2" x14ac:dyDescent="0.25">
      <c r="A11" t="s">
        <v>9</v>
      </c>
      <c r="B11" s="6">
        <v>0.06535947712418301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17.94949727810651</v>
      </c>
    </row>
    <row r="14" spans="1:3" x14ac:dyDescent="0.25">
      <c r="A14" t="s">
        <v>12</v>
      </c>
      <c r="B14" s="6">
        <v>0.11127696923126174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1.24254</v>
      </c>
      <c r="C19" s="8" t="s">
        <v>19</v>
      </c>
    </row>
    <row r="20" spans="1:2" x14ac:dyDescent="0.25">
      <c r="A20" t="s">
        <v>20</v>
      </c>
      <c r="B20" s="10">
        <f>B17+B19*B18</f>
        <v>0.1183197</v>
      </c>
    </row>
    <row r="21" spans="1:3" x14ac:dyDescent="0.25">
      <c r="A21" t="s">
        <v>21</v>
      </c>
      <c r="B21" s="6">
        <v>0.053471323846485556</v>
      </c>
      <c r="C21" s="8" t="s">
        <v>22</v>
      </c>
    </row>
    <row r="22" spans="1:2" x14ac:dyDescent="0.25">
      <c r="A22" t="s">
        <v>23</v>
      </c>
      <c r="B22" s="11">
        <v>13421832192</v>
      </c>
    </row>
    <row r="23" spans="1:2" x14ac:dyDescent="0.25">
      <c r="A23" t="s">
        <v>24</v>
      </c>
      <c r="B23" s="11">
        <v>1392200000</v>
      </c>
    </row>
    <row r="24" spans="1:2" x14ac:dyDescent="0.25">
      <c r="A24" t="s">
        <v>25</v>
      </c>
      <c r="B24" s="10">
        <f>B22/(B22+B23)</f>
        <v>0.9060215353958913</v>
      </c>
    </row>
    <row r="25" spans="1:2" x14ac:dyDescent="0.25">
      <c r="A25" t="s">
        <v>26</v>
      </c>
      <c r="B25" s="10">
        <f>1-B24</f>
        <v>0.09397846460410875</v>
      </c>
    </row>
    <row r="26" spans="1:2" x14ac:dyDescent="0.25">
      <c r="A26" t="s">
        <v>27</v>
      </c>
      <c r="B26" s="12">
        <f>B24*B20+B25*B21*(1-B8)</f>
        <v>0.11127696923126174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3587300000</v>
      </c>
      <c r="C29" s="8" t="s">
        <v>30</v>
      </c>
    </row>
    <row r="30" spans="1:2" x14ac:dyDescent="0.25">
      <c r="A30" t="s">
        <v>31</v>
      </c>
      <c r="B30" s="11">
        <v>1138800000</v>
      </c>
    </row>
    <row r="31" spans="1:2" x14ac:dyDescent="0.25">
      <c r="A31" t="s">
        <v>32</v>
      </c>
      <c r="B31" s="13">
        <v>241500000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-0.008135718177214146</v>
      </c>
      <c r="C5" s="10">
        <f>Assumptions!B6</f>
        <v>-0.008135718177214146</v>
      </c>
      <c r="D5" s="10">
        <f>Assumptions!B6</f>
        <v>-0.008135718177214146</v>
      </c>
      <c r="E5" s="10">
        <f>Assumptions!B6</f>
        <v>-0.008135718177214146</v>
      </c>
      <c r="F5" s="10">
        <f>Assumptions!B6</f>
        <v>-0.008135718177214146</v>
      </c>
    </row>
    <row r="6" spans="1:6" x14ac:dyDescent="0.25">
      <c r="A6" t="s">
        <v>43</v>
      </c>
      <c r="B6" s="18">
        <f>Assumptions!B29*(1+B5)</f>
        <v>3558114738.18288</v>
      </c>
      <c r="C6" s="18">
        <f>B6*(1+C5)</f>
        <v>3529166919.430832</v>
      </c>
      <c r="D6" s="18">
        <f>C6*(1+D5)</f>
        <v>3500454611.9739957</v>
      </c>
      <c r="E6" s="18">
        <f>D6*(1+E5)</f>
        <v>3471975899.758846</v>
      </c>
      <c r="F6" s="18">
        <f>E6*(1+F5)</f>
        <v>3443728882.320328</v>
      </c>
    </row>
    <row r="7" spans="1:6" x14ac:dyDescent="0.25">
      <c r="A7" t="s">
        <v>5</v>
      </c>
      <c r="B7" s="10">
        <f>Assumptions!B7</f>
        <v>0.14428434155971712</v>
      </c>
      <c r="C7" s="10">
        <f>Assumptions!B7</f>
        <v>0.14428434155971712</v>
      </c>
      <c r="D7" s="10">
        <f>Assumptions!B7</f>
        <v>0.14428434155971712</v>
      </c>
      <c r="E7" s="10">
        <f>Assumptions!B7</f>
        <v>0.14428434155971712</v>
      </c>
      <c r="F7" s="10">
        <f>Assumptions!B7</f>
        <v>0.14428434155971712</v>
      </c>
    </row>
    <row r="8" spans="1:6" x14ac:dyDescent="0.25">
      <c r="A8" t="s">
        <v>44</v>
      </c>
      <c r="B8" s="18">
        <f>B6*B7</f>
        <v>513380242.1926421</v>
      </c>
      <c r="C8" s="18">
        <f>C6*C7</f>
        <v>509203525.2244128</v>
      </c>
      <c r="D8" s="18">
        <f>D6*D7</f>
        <v>505060788.848343</v>
      </c>
      <c r="E8" s="18">
        <f>E6*E7</f>
        <v>500951756.60791147</v>
      </c>
      <c r="F8" s="18">
        <f>F6*F7</f>
        <v>496876154.2957691</v>
      </c>
    </row>
    <row r="9" spans="1:6" x14ac:dyDescent="0.25">
      <c r="A9" t="s">
        <v>45</v>
      </c>
      <c r="B9" s="18">
        <f>B8*(1-Assumptions!B8)</f>
        <v>416491742.5910791</v>
      </c>
      <c r="C9" s="18">
        <f>C8*(1-Assumptions!B8)</f>
        <v>413103283.1502213</v>
      </c>
      <c r="D9" s="18">
        <f>D8*(1-Assumptions!B8)</f>
        <v>409742391.2604292</v>
      </c>
      <c r="E9" s="18">
        <f>E8*(1-Assumptions!B8)</f>
        <v>406408842.63987654</v>
      </c>
      <c r="F9" s="18">
        <f>F8*(1-Assumptions!B8)</f>
        <v>403102414.83143073</v>
      </c>
    </row>
    <row r="10" spans="1:6" x14ac:dyDescent="0.25">
      <c r="A10" t="s">
        <v>46</v>
      </c>
      <c r="B10" s="18">
        <f>B6*Assumptions!B9</f>
        <v>205848556.3920078</v>
      </c>
      <c r="C10" s="18">
        <f>C6*Assumptions!B9</f>
        <v>204173830.55001605</v>
      </c>
      <c r="D10" s="18">
        <f>D6*Assumptions!B9</f>
        <v>202512729.80549884</v>
      </c>
      <c r="E10" s="18">
        <f>E6*Assumptions!B9</f>
        <v>200865143.30850297</v>
      </c>
      <c r="F10" s="18">
        <f>F6*Assumptions!B9</f>
        <v>199230961.11091927</v>
      </c>
    </row>
    <row r="11" spans="1:6" x14ac:dyDescent="0.25">
      <c r="A11" t="s">
        <v>47</v>
      </c>
      <c r="B11" s="18">
        <f>-B6*Assumptions!B10</f>
        <v>-37390989.54018773</v>
      </c>
      <c r="C11" s="18">
        <f>-C6*Assumptions!B10</f>
        <v>-37086786.9869216</v>
      </c>
      <c r="D11" s="18">
        <f>-D6*Assumptions!B10</f>
        <v>-36785059.33989763</v>
      </c>
      <c r="E11" s="18">
        <f>-E6*Assumptions!B10</f>
        <v>-36485786.46397613</v>
      </c>
      <c r="F11" s="18">
        <f>-F6*Assumptions!B10</f>
        <v>-36188948.3878312</v>
      </c>
    </row>
    <row r="12" spans="1:6" x14ac:dyDescent="0.25">
      <c r="A12" t="s">
        <v>48</v>
      </c>
      <c r="B12" s="18">
        <f>-(B6-Assumptions!B29)*Assumptions!B11</f>
        <v>1907533.4520993514</v>
      </c>
      <c r="C12" s="18">
        <f>-(C6-B6)*Assumptions!B11</f>
        <v>1892014.2975194782</v>
      </c>
      <c r="D12" s="18">
        <f>-(D6-C6)*Assumptions!B11</f>
        <v>1876621.4024075964</v>
      </c>
      <c r="E12" s="18">
        <f>-(E6-D6)*Assumptions!B11</f>
        <v>1861353.7395522797</v>
      </c>
      <c r="F12" s="18">
        <f>-(F6-E6)*Assumptions!B11</f>
        <v>1846210.2900991878</v>
      </c>
    </row>
    <row r="13" spans="1:6" x14ac:dyDescent="0.25">
      <c r="A13" s="19" t="s">
        <v>49</v>
      </c>
      <c r="B13" s="20">
        <f>B9+B10+B11+B12</f>
        <v>586856842.8949986</v>
      </c>
      <c r="C13" s="20">
        <f>C9+C10+C11+C12</f>
        <v>582082341.0108352</v>
      </c>
      <c r="D13" s="20">
        <f>D9+D10+D11+D12</f>
        <v>577346683.128438</v>
      </c>
      <c r="E13" s="20">
        <f>E9+E10+E11+E12</f>
        <v>572649553.2239556</v>
      </c>
      <c r="F13" s="20">
        <f>F9+F10+F11+F12</f>
        <v>567990637.844618</v>
      </c>
    </row>
    <row r="14" spans="1:6" x14ac:dyDescent="0.25">
      <c r="A14" t="s">
        <v>50</v>
      </c>
      <c r="B14" s="21">
        <f>1/(1+Assumptions!$B$26)^(1-0.5*Assumptions!$B$32)</f>
        <v>0.9486124999037725</v>
      </c>
      <c r="C14" s="21">
        <f>1/(1+Assumptions!$B$26)^(2-0.5*Assumptions!$B$32)</f>
        <v>0.8536238275143828</v>
      </c>
      <c r="D14" s="21">
        <f>1/(1+Assumptions!$B$26)^(3-0.5*Assumptions!$B$32)</f>
        <v>0.7681467817198503</v>
      </c>
      <c r="E14" s="21">
        <f>1/(1+Assumptions!$B$26)^(4-0.5*Assumptions!$B$32)</f>
        <v>0.6912289222111969</v>
      </c>
      <c r="F14" s="21">
        <f>1/(1+Assumptions!$B$26)^(5-0.5*Assumptions!$B$32)</f>
        <v>0.6220131806469114</v>
      </c>
    </row>
    <row r="15" spans="1:6" x14ac:dyDescent="0.25">
      <c r="A15" s="19" t="s">
        <v>51</v>
      </c>
      <c r="B15" s="20">
        <f>B13*B14</f>
        <v>556699736.82426</v>
      </c>
      <c r="C15" s="20">
        <f>C13*C14</f>
        <v>496879355.86220133</v>
      </c>
      <c r="D15" s="20">
        <f>D13*D14</f>
        <v>443486996.58173984</v>
      </c>
      <c r="E15" s="20">
        <f>E13*E14</f>
        <v>395831933.47971827</v>
      </c>
      <c r="F15" s="20">
        <f>F13*F14</f>
        <v>353297663.22339875</v>
      </c>
    </row>
    <row r="17" spans="1:2" x14ac:dyDescent="0.25">
      <c r="A17" s="22" t="s">
        <v>52</v>
      </c>
      <c r="B17" s="23">
        <f>SUM(B15:F15)</f>
        <v>2246195685.9713182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567990637.844618</v>
      </c>
    </row>
    <row r="5" spans="1:2" x14ac:dyDescent="0.25">
      <c r="A5" t="s">
        <v>56</v>
      </c>
      <c r="B5" s="18">
        <f>IF(Assumptions!$B$33=0,B4,B4-Forecast!F11-Forecast!F10-Forecast!F12)</f>
        <v>535374065.38146245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0.2246646379094282</v>
      </c>
    </row>
    <row r="7" spans="1:2" x14ac:dyDescent="0.25">
      <c r="A7" t="s">
        <v>58</v>
      </c>
      <c r="B7" s="18">
        <f>-MAX(Forecast!F9,0)*B6</f>
        <v>-120279620.5450248</v>
      </c>
    </row>
    <row r="8" spans="1:2" x14ac:dyDescent="0.25">
      <c r="A8" t="s">
        <v>59</v>
      </c>
      <c r="B8" s="18">
        <f>IF(OR(Assumptions!$B$33=0,Assumptions!B12&lt;=0),B5,MAX(B5+B7,0))</f>
        <v>415094444.83643764</v>
      </c>
    </row>
    <row r="9" spans="1:2" x14ac:dyDescent="0.25">
      <c r="A9" t="s">
        <v>60</v>
      </c>
      <c r="B9" s="18">
        <f>B8*(1+Assumptions!B12)/(Assumptions!B26-Assumptions!B12)</f>
        <v>4931464442.346016</v>
      </c>
    </row>
    <row r="10" spans="1:2" x14ac:dyDescent="0.25">
      <c r="A10" t="s">
        <v>61</v>
      </c>
      <c r="B10" s="18">
        <f>B9/(1+Assumptions!B26)^(5-0.5*Assumptions!B32)</f>
        <v>3067435883.030792</v>
      </c>
    </row>
    <row r="11" spans="1:2" x14ac:dyDescent="0.25">
      <c r="A11" t="s">
        <v>62</v>
      </c>
      <c r="B11" s="18">
        <f>Forecast!B17+B10</f>
        <v>5313631569.0021105</v>
      </c>
    </row>
    <row r="12" spans="1:2" x14ac:dyDescent="0.25">
      <c r="A12" t="s">
        <v>63</v>
      </c>
      <c r="B12" s="18">
        <f>-Assumptions!B30</f>
        <v>-1138800000</v>
      </c>
    </row>
    <row r="13" spans="1:2" x14ac:dyDescent="0.25">
      <c r="A13" t="s">
        <v>64</v>
      </c>
      <c r="B13" s="18">
        <f>B11+B12</f>
        <v>4174831569.0021105</v>
      </c>
    </row>
    <row r="14" spans="1:2" x14ac:dyDescent="0.25">
      <c r="A14" s="19" t="s">
        <v>65</v>
      </c>
      <c r="B14" s="24">
        <f>B13/Assumptions!B31</f>
        <v>17.287087242244763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696107115.4066883</v>
      </c>
    </row>
    <row r="18" spans="1:2" x14ac:dyDescent="0.25">
      <c r="A18" t="s">
        <v>60</v>
      </c>
      <c r="B18" s="18">
        <f>B17*Assumptions!B13</f>
        <v>12494772773.262926</v>
      </c>
    </row>
    <row r="19" spans="1:2" x14ac:dyDescent="0.25">
      <c r="A19" t="s">
        <v>61</v>
      </c>
      <c r="B19" s="18">
        <f>B18/(1+Assumptions!B26)^(5-0.5*Assumptions!B32)</f>
        <v>7771913354.157702</v>
      </c>
    </row>
    <row r="20" spans="1:2" x14ac:dyDescent="0.25">
      <c r="A20" t="s">
        <v>62</v>
      </c>
      <c r="B20" s="18">
        <f>Forecast!B17+B19</f>
        <v>10018109040.12902</v>
      </c>
    </row>
    <row r="21" spans="1:2" x14ac:dyDescent="0.25">
      <c r="A21" t="s">
        <v>63</v>
      </c>
      <c r="B21" s="18">
        <f>-Assumptions!B30</f>
        <v>-1138800000</v>
      </c>
    </row>
    <row r="22" spans="1:2" x14ac:dyDescent="0.25">
      <c r="A22" t="s">
        <v>64</v>
      </c>
      <c r="B22" s="18">
        <f>B20+B21</f>
        <v>8879309040.12902</v>
      </c>
    </row>
    <row r="23" spans="1:2" x14ac:dyDescent="0.25">
      <c r="A23" s="19" t="s">
        <v>65</v>
      </c>
      <c r="B23" s="25">
        <f>B22/Assumptions!B31</f>
        <v>36.76732521792555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57.56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17.287087242244763</v>
      </c>
    </row>
    <row r="29" spans="1:2" x14ac:dyDescent="0.25">
      <c r="A29" s="19" t="s">
        <v>73</v>
      </c>
      <c r="B29" s="12">
        <f>B28/B26-1</f>
        <v>-0.6996683939846289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0.091277</v>
      </c>
      <c r="B5" s="31">
        <v>21.620172510421902</v>
      </c>
      <c r="C5" s="31">
        <v>21.702139942928742</v>
      </c>
      <c r="D5" s="31">
        <v>21.78410737543558</v>
      </c>
      <c r="E5" s="31">
        <v>21.866074807942415</v>
      </c>
      <c r="F5" s="31">
        <v>21.948042240449254</v>
      </c>
    </row>
    <row r="6" spans="1:6" x14ac:dyDescent="0.25">
      <c r="A6" s="30">
        <v>0.101277</v>
      </c>
      <c r="B6" s="31">
        <v>19.172726098950278</v>
      </c>
      <c r="C6" s="31">
        <v>19.243629131256576</v>
      </c>
      <c r="D6" s="31">
        <v>19.314532163562866</v>
      </c>
      <c r="E6" s="31">
        <v>19.385435195869164</v>
      </c>
      <c r="F6" s="31">
        <v>19.456338228175454</v>
      </c>
    </row>
    <row r="7" spans="1:6" x14ac:dyDescent="0.25">
      <c r="A7" s="30">
        <v>0.111277</v>
      </c>
      <c r="B7" s="31">
        <v>17.163163583848736</v>
      </c>
      <c r="C7" s="31">
        <v>17.22512257294495</v>
      </c>
      <c r="D7" s="32">
        <v>17.287081562041156</v>
      </c>
      <c r="E7" s="31">
        <v>17.349040551137367</v>
      </c>
      <c r="F7" s="31">
        <v>17.410999540233572</v>
      </c>
    </row>
    <row r="8" spans="1:6" x14ac:dyDescent="0.25">
      <c r="A8" s="30">
        <v>0.121277</v>
      </c>
      <c r="B8" s="31">
        <v>15.483248208527947</v>
      </c>
      <c r="C8" s="31">
        <v>15.53785210577923</v>
      </c>
      <c r="D8" s="31">
        <v>15.592456003030504</v>
      </c>
      <c r="E8" s="31">
        <v>15.647059900281784</v>
      </c>
      <c r="F8" s="31">
        <v>15.701663797533064</v>
      </c>
    </row>
    <row r="9" spans="1:6" x14ac:dyDescent="0.25">
      <c r="A9" s="30">
        <v>0.131277</v>
      </c>
      <c r="B9" s="31">
        <v>14.05771833905727</v>
      </c>
      <c r="C9" s="31">
        <v>14.106187025048298</v>
      </c>
      <c r="D9" s="31">
        <v>14.15465571103932</v>
      </c>
      <c r="E9" s="31">
        <v>14.203124397030347</v>
      </c>
      <c r="F9" s="31">
        <v>14.251593083021369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3587300000</v>
      </c>
      <c r="C5" s="18">
        <v>3683300000</v>
      </c>
      <c r="D5" s="18">
        <v>3798700000</v>
      </c>
      <c r="E5" s="18">
        <v>3676300000</v>
      </c>
      <c r="F5" s="8" t="s">
        <v>84</v>
      </c>
    </row>
    <row r="6" spans="1:6" x14ac:dyDescent="0.25">
      <c r="A6" t="s">
        <v>44</v>
      </c>
      <c r="B6" s="18">
        <v>611300000</v>
      </c>
      <c r="C6" s="18">
        <v>476600000</v>
      </c>
      <c r="D6" s="18">
        <v>494400000</v>
      </c>
      <c r="E6" s="18">
        <v>541100000</v>
      </c>
      <c r="F6" s="8" t="s">
        <v>85</v>
      </c>
    </row>
    <row r="7" spans="1:6" x14ac:dyDescent="0.25">
      <c r="A7" t="s">
        <v>86</v>
      </c>
      <c r="B7" s="18">
        <v>199900000</v>
      </c>
      <c r="C7" s="18">
        <v>232000000</v>
      </c>
      <c r="D7" s="18">
        <v>250600000</v>
      </c>
      <c r="E7" s="18">
        <v>171800000</v>
      </c>
      <c r="F7" s="8" t="s">
        <v>87</v>
      </c>
    </row>
    <row r="8" spans="1:6" x14ac:dyDescent="0.25">
      <c r="A8" t="s">
        <v>88</v>
      </c>
      <c r="B8" s="18">
        <v>25300000</v>
      </c>
      <c r="C8" s="18">
        <v>33600000</v>
      </c>
      <c r="D8" s="18">
        <v>42000000</v>
      </c>
      <c r="E8" s="18">
        <v>43200000</v>
      </c>
      <c r="F8" s="8" t="s">
        <v>89</v>
      </c>
    </row>
    <row r="9" spans="1:6" x14ac:dyDescent="0.25">
      <c r="A9" t="s">
        <v>90</v>
      </c>
      <c r="B9" s="18">
        <v>472000000</v>
      </c>
      <c r="C9" s="18">
        <v>-203400000</v>
      </c>
      <c r="D9" s="18">
        <v>8000000</v>
      </c>
      <c r="E9" s="18">
        <v>253400000</v>
      </c>
      <c r="F9" s="8" t="s">
        <v>91</v>
      </c>
    </row>
    <row r="10" spans="1:6" x14ac:dyDescent="0.25">
      <c r="A10" t="s">
        <v>92</v>
      </c>
      <c r="B10" s="18">
        <v>1392200000</v>
      </c>
      <c r="C10" s="18">
        <v>1390600000</v>
      </c>
      <c r="D10" s="18">
        <v>3188500000</v>
      </c>
      <c r="E10" s="18">
        <v>1625100000</v>
      </c>
      <c r="F10" s="8" t="s">
        <v>93</v>
      </c>
    </row>
    <row r="11" spans="1:6" x14ac:dyDescent="0.25">
      <c r="A11" t="s">
        <v>94</v>
      </c>
      <c r="B11" s="18">
        <v>253400000</v>
      </c>
      <c r="C11" s="18">
        <v>738800000</v>
      </c>
      <c r="D11" s="18">
        <v>229800000</v>
      </c>
      <c r="E11" s="18">
        <v>271000000</v>
      </c>
      <c r="F11" s="8" t="s">
        <v>95</v>
      </c>
    </row>
    <row r="12" spans="1:6" x14ac:dyDescent="0.25">
      <c r="A12" t="s">
        <v>32</v>
      </c>
      <c r="B12" s="34">
        <v>241500000</v>
      </c>
      <c r="C12" s="34">
        <v>247200000</v>
      </c>
      <c r="D12" s="34">
        <v>249100000</v>
      </c>
      <c r="E12" s="34">
        <v>250200000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2026-09-19T00:06:54Z</dcterms:modified>
</cp:coreProperties>
</file>