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<sst xmlns="http://schemas.openxmlformats.org/spreadsheetml/2006/main" count="114" uniqueCount="102">
  <si>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Terna S.p.A. (TRN.MI)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</si>
  <si>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</si>
  <si>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</si>
  <si>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</si>
  <si>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</si>
  <si>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</si>
  <si>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</si>
  <si>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</si>
  <si>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</si>
  <si>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</si>
  <si>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</si>
  <si>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</si>
  <si>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</si>
  <si>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</si>
  <si>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</si>
  <si>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</si>
  <si>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</si>
  <si>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</si>
  <si>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</si>
  <si>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</si>
  <si>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</si>
  <si>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</si>
  <si>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</si>
  <si>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</si>
  <si>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</si>
  <si>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</si>
  <si>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</si>
  <si>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</si>
  <si>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</si>
  <si>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</si>
  <si>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2024-12-31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</si>
  <si>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</si>
  <si>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</si>
  <si>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</si>
  <si>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</si>
  <si>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</si>
  <si>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</si>
  <si>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</si>
  <si>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FY25</t>
  </si>
  <si>
    <t>FY26</t>
  </si>
  <si>
    <t>FY27</t>
  </si>
  <si>
    <t>FY28</t>
  </si>
  <si>
    <t>FY29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</si>
  <si>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</si>
  <si>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</si>
  <si>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</si>
  <si>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</si>
  <si>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</si>
  <si>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</si>
  <si>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</si>
  <si>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</si>
  <si>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</si>
  <si>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</si>
  <si>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</si>
  <si>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</si>
  <si>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</si>
  <si>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</si>
  <si>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</si>
  <si>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</si>
  <si>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</si>
  <si>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</si>
  <si>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</si>
  <si>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</si>
  <si>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</si>
  <si>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</si>
  <si>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</si>
  <si>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</si>
  <si>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</si>
  <si>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</si>
  <si>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</si>
  <si>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</si>
  <si>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</si>
  <si>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</si>
  <si>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</si>
  <si>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</si>
  <si>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</si>
  <si>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</si>
  <si>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</si>
  <si>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</si>
  <si>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2024-12-31</t>
  </si>
  <si>
    <t>2023-12-31</t>
  </si>
  <si>
    <t>2022-12-31</t>
  </si>
  <si>
    <t>2021-12-31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</si>
  <si>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</si>
  <si>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</si>
  <si>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</si>
  <si>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</si>
  <si>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</si>
  <si>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</si>
  <si>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</si>
  <si>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</si>
  <si>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</si>
  <si>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</si>
  <si>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</si>
  <si>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</si>
  <si>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</si>
  <si>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</si>
  <si>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</si>
  <si>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</si>
  <si>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Adjusted: Capital expenditure runs at 64.7% of revenue against depreciation of 25.0%.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</si>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</sst>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0.12594703304092647</v>
      </c>
    </row>
    <row r="7" spans="1:2" x14ac:dyDescent="0.25">
      <c r="A7" t="s">
        <v>5</v>
      </c>
      <c r="B7" s="6">
        <v>0.4483743214899558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0.24961452128440043</v>
      </c>
    </row>
    <row r="10" spans="1:2" x14ac:dyDescent="0.25">
      <c r="A10" t="s">
        <v>8</v>
      </c>
      <c r="B10" s="6">
        <v>0.6472193479796894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11.558552630844382</v>
      </c>
    </row>
    <row r="14" spans="1:3" x14ac:dyDescent="0.25">
      <c r="A14" t="s">
        <v>12</v>
      </c>
      <c r="B14" s="6">
        <v>0.0650431205493744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0.73669</v>
      </c>
      <c r="C19" s="8" t="s">
        <v>19</v>
      </c>
    </row>
    <row r="20" spans="1:2" x14ac:dyDescent="0.25">
      <c r="A20" t="s">
        <v>20</v>
      </c>
      <c r="B20" s="10">
        <f>B17+B19*B18</f>
        <v>0.08988485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18713030656</v>
      </c>
    </row>
    <row r="23" spans="1:2" x14ac:dyDescent="0.25">
      <c r="A23" t="s">
        <v>24</v>
      </c>
      <c r="B23" s="11">
        <v>13858700000</v>
      </c>
    </row>
    <row r="24" spans="1:2" x14ac:dyDescent="0.25">
      <c r="A24" t="s">
        <v>25</v>
      </c>
      <c r="B24" s="10">
        <f>B22/(B22+B23)</f>
        <v>0.5745175426394757</v>
      </c>
    </row>
    <row r="25" spans="1:2" x14ac:dyDescent="0.25">
      <c r="A25" t="s">
        <v>26</v>
      </c>
      <c r="B25" s="10">
        <f>1-B24</f>
        <v>0.42548245736052426</v>
      </c>
    </row>
    <row r="26" spans="1:2" x14ac:dyDescent="0.25">
      <c r="A26" t="s">
        <v>27</v>
      </c>
      <c r="B26" s="12">
        <f>B24*B20+B25*B21*(1-B8)</f>
        <v>0.0650431205493744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3652500000</v>
      </c>
      <c r="C29" s="8" t="s">
        <v>30</v>
      </c>
    </row>
    <row r="30" spans="1:2" x14ac:dyDescent="0.25">
      <c r="A30" t="s">
        <v>31</v>
      </c>
      <c r="B30" s="11">
        <v>11101100000</v>
      </c>
    </row>
    <row r="31" spans="1:2" x14ac:dyDescent="0.25">
      <c r="A31" t="s">
        <v>32</v>
      </c>
      <c r="B31" s="13">
        <v>2006021989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0.12594703304092647</v>
      </c>
      <c r="C5" s="10">
        <f>Assumptions!B6</f>
        <v>0.12594703304092647</v>
      </c>
      <c r="D5" s="10">
        <f>Assumptions!B6</f>
        <v>0.12594703304092647</v>
      </c>
      <c r="E5" s="10">
        <f>Assumptions!B6</f>
        <v>0.12594703304092647</v>
      </c>
      <c r="F5" s="10">
        <f>Assumptions!B6</f>
        <v>0.12594703304092647</v>
      </c>
    </row>
    <row r="6" spans="1:6" x14ac:dyDescent="0.25">
      <c r="A6" t="s">
        <v>43</v>
      </c>
      <c r="B6" s="18">
        <f>Assumptions!B29*(1+B5)</f>
        <v>4112521538.181984</v>
      </c>
      <c r="C6" s="18">
        <f>B6*(1+C5)</f>
        <v>4630481424.232912</v>
      </c>
      <c r="D6" s="18">
        <f>C6*(1+D5)</f>
        <v>5213676821.166171</v>
      </c>
      <c r="E6" s="18">
        <f>D6*(1+E5)</f>
        <v>5870323948.026299</v>
      </c>
      <c r="F6" s="18">
        <f>E6*(1+F5)</f>
        <v>6609673832.26931</v>
      </c>
    </row>
    <row r="7" spans="1:6" x14ac:dyDescent="0.25">
      <c r="A7" t="s">
        <v>5</v>
      </c>
      <c r="B7" s="10">
        <f>Assumptions!B7</f>
        <v>0.4483743214899558</v>
      </c>
      <c r="C7" s="10">
        <f>Assumptions!B7</f>
        <v>0.4483743214899558</v>
      </c>
      <c r="D7" s="10">
        <f>Assumptions!B7</f>
        <v>0.4483743214899558</v>
      </c>
      <c r="E7" s="10">
        <f>Assumptions!B7</f>
        <v>0.4483743214899558</v>
      </c>
      <c r="F7" s="10">
        <f>Assumptions!B7</f>
        <v>0.4483743214899558</v>
      </c>
    </row>
    <row r="8" spans="1:6" x14ac:dyDescent="0.25">
      <c r="A8" t="s">
        <v>44</v>
      </c>
      <c r="B8" s="18">
        <f>B6*B7</f>
        <v>1843949054.2951765</v>
      </c>
      <c r="C8" s="18">
        <f>C6*C7</f>
        <v>2076188966.7622762</v>
      </c>
      <c r="D8" s="18">
        <f>D6*D7</f>
        <v>2337678807.158292</v>
      </c>
      <c r="E8" s="18">
        <f>E6*E7</f>
        <v>2632102517.1225305</v>
      </c>
      <c r="F8" s="18">
        <f>F6*F7</f>
        <v>2963608019.813668</v>
      </c>
    </row>
    <row r="9" spans="1:6" x14ac:dyDescent="0.25">
      <c r="A9" t="s">
        <v>45</v>
      </c>
      <c r="B9" s="18">
        <f>B8*(1-Assumptions!B8)</f>
        <v>1382961790.7213824</v>
      </c>
      <c r="C9" s="18">
        <f>C8*(1-Assumptions!B8)</f>
        <v>1557141725.0717072</v>
      </c>
      <c r="D9" s="18">
        <f>D8*(1-Assumptions!B8)</f>
        <v>1753259105.3687189</v>
      </c>
      <c r="E9" s="18">
        <f>E8*(1-Assumptions!B8)</f>
        <v>1974076887.841898</v>
      </c>
      <c r="F9" s="18">
        <f>F8*(1-Assumptions!B8)</f>
        <v>2222706014.860251</v>
      </c>
    </row>
    <row r="10" spans="1:6" x14ac:dyDescent="0.25">
      <c r="A10" t="s">
        <v>46</v>
      </c>
      <c r="B10" s="18">
        <f>B6*Assumptions!B9</f>
        <v>1026545095.025082</v>
      </c>
      <c r="C10" s="18">
        <f>C6*Assumptions!B9</f>
        <v>1155835404.026207</v>
      </c>
      <c r="D10" s="18">
        <f>D6*Assumptions!B9</f>
        <v>1301409443.8469684</v>
      </c>
      <c r="E10" s="18">
        <f>E6*Assumptions!B9</f>
        <v>1465318102.0709362</v>
      </c>
      <c r="F10" s="18">
        <f>F6*Assumptions!B9</f>
        <v>1649870569.4879322</v>
      </c>
    </row>
    <row r="11" spans="1:6" x14ac:dyDescent="0.25">
      <c r="A11" t="s">
        <v>47</v>
      </c>
      <c r="B11" s="18">
        <f>-B6*Assumptions!B10</f>
        <v>-2661703508.494573</v>
      </c>
      <c r="C11" s="18">
        <f>-C6*Assumptions!B10</f>
        <v>-2996937168.2240887</v>
      </c>
      <c r="D11" s="18">
        <f>-D6*Assumptions!B10</f>
        <v>-3374392512.771989</v>
      </c>
      <c r="E11" s="18">
        <f>-E6*Assumptions!B10</f>
        <v>-3799387238.0711374</v>
      </c>
      <c r="F11" s="18">
        <f>-F6*Assumptions!B10</f>
        <v>-4277908788.0797577</v>
      </c>
    </row>
    <row r="12" spans="1:6" x14ac:dyDescent="0.25">
      <c r="A12" t="s">
        <v>48</v>
      </c>
      <c r="B12" s="18">
        <f>-(B6-Assumptions!B29)*Assumptions!B11</f>
        <v>-460021538.18198395</v>
      </c>
      <c r="C12" s="18">
        <f>-(C6-B6)*Assumptions!B11</f>
        <v>-517959886.0509281</v>
      </c>
      <c r="D12" s="18">
        <f>-(D6-C6)*Assumptions!B11</f>
        <v>-583195396.933259</v>
      </c>
      <c r="E12" s="18">
        <f>-(E6-D6)*Assumptions!B11</f>
        <v>-656647126.8601284</v>
      </c>
      <c r="F12" s="18">
        <f>-(F6-E6)*Assumptions!B11</f>
        <v>-739349884.2430105</v>
      </c>
    </row>
    <row r="13" spans="1:6" x14ac:dyDescent="0.25">
      <c r="A13" s="19" t="s">
        <v>49</v>
      </c>
      <c r="B13" s="20">
        <f>B9+B10+B11+B12</f>
        <v>-712218160.9300928</v>
      </c>
      <c r="C13" s="20">
        <f>C9+C10+C11+C12</f>
        <v>-801919925.1771026</v>
      </c>
      <c r="D13" s="20">
        <f>D9+D10+D11+D12</f>
        <v>-902919360.4895606</v>
      </c>
      <c r="E13" s="20">
        <f>E9+E10+E11+E12</f>
        <v>-1016639375.0184317</v>
      </c>
      <c r="F13" s="20">
        <f>F9+F10+F11+F12</f>
        <v>-1144682087.974585</v>
      </c>
    </row>
    <row r="14" spans="1:6" x14ac:dyDescent="0.25">
      <c r="A14" t="s">
        <v>50</v>
      </c>
      <c r="B14" s="21">
        <f>1/(1+Assumptions!$B$26)^(1-0.5*Assumptions!$B$32)</f>
        <v>0.9689835499412907</v>
      </c>
      <c r="C14" s="21">
        <f>1/(1+Assumptions!$B$26)^(2-0.5*Assumptions!$B$32)</f>
        <v>0.9098068718959154</v>
      </c>
      <c r="D14" s="21">
        <f>1/(1+Assumptions!$B$26)^(3-0.5*Assumptions!$B$32)</f>
        <v>0.854244165650885</v>
      </c>
      <c r="E14" s="21">
        <f>1/(1+Assumptions!$B$26)^(4-0.5*Assumptions!$B$32)</f>
        <v>0.8020747227682629</v>
      </c>
      <c r="F14" s="21">
        <f>1/(1+Assumptions!$B$26)^(5-0.5*Assumptions!$B$32)</f>
        <v>0.7530913136686276</v>
      </c>
    </row>
    <row r="15" spans="1:6" x14ac:dyDescent="0.25">
      <c r="A15" s="19" t="s">
        <v>51</v>
      </c>
      <c r="B15" s="20">
        <f>B13*B14</f>
        <v>-690127681.9106988</v>
      </c>
      <c r="C15" s="20">
        <f>C13*C14</f>
        <v>-729592258.6363862</v>
      </c>
      <c r="D15" s="20">
        <f>D13*D14</f>
        <v>-771313595.7514354</v>
      </c>
      <c r="E15" s="20">
        <f>E13*E14</f>
        <v>-815420744.8732086</v>
      </c>
      <c r="F15" s="20">
        <f>F13*F14</f>
        <v>-862050137.3657278</v>
      </c>
    </row>
    <row r="17" spans="1:2" x14ac:dyDescent="0.25">
      <c r="A17" s="22" t="s">
        <v>52</v>
      </c>
      <c r="B17" s="23">
        <f>SUM(B15:F15)</f>
        <v>-3868504418.5374565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-1144682087.974585</v>
      </c>
    </row>
    <row r="5" spans="1:2" x14ac:dyDescent="0.25">
      <c r="A5" t="s">
        <v>56</v>
      </c>
      <c r="B5" s="18">
        <f>IF(Assumptions!$B$33=0,B4,B4-Forecast!F11-Forecast!F10-Forecast!F12)</f>
        <v>2222706014.860251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0.38436040258896303</v>
      </c>
    </row>
    <row r="7" spans="1:2" x14ac:dyDescent="0.25">
      <c r="A7" t="s">
        <v>58</v>
      </c>
      <c r="B7" s="18">
        <f>-MAX(Forecast!F9,0)*B6</f>
        <v>-854320178.7085958</v>
      </c>
    </row>
    <row r="8" spans="1:2" x14ac:dyDescent="0.25">
      <c r="A8" t="s">
        <v>59</v>
      </c>
      <c r="B8" s="18">
        <f>IF(OR(Assumptions!$B$33=0,Assumptions!B12&lt;=0),B5,MAX(B5+B7,0))</f>
        <v>1368385836.1516552</v>
      </c>
    </row>
    <row r="9" spans="1:2" x14ac:dyDescent="0.25">
      <c r="A9" t="s">
        <v>60</v>
      </c>
      <c r="B9" s="18">
        <f>B8*(1+Assumptions!B12)/(Assumptions!B26-Assumptions!B12)</f>
        <v>35027127327.05242</v>
      </c>
    </row>
    <row r="10" spans="1:2" x14ac:dyDescent="0.25">
      <c r="A10" t="s">
        <v>61</v>
      </c>
      <c r="B10" s="18">
        <f>B9/(1+Assumptions!B26)^(5-0.5*Assumptions!B32)</f>
        <v>26378625332.768192</v>
      </c>
    </row>
    <row r="11" spans="1:2" x14ac:dyDescent="0.25">
      <c r="A11" t="s">
        <v>62</v>
      </c>
      <c r="B11" s="18">
        <f>Forecast!B17+B10</f>
        <v>22510120914.230736</v>
      </c>
    </row>
    <row r="12" spans="1:2" x14ac:dyDescent="0.25">
      <c r="A12" t="s">
        <v>63</v>
      </c>
      <c r="B12" s="18">
        <f>-Assumptions!B30</f>
        <v>-11101100000</v>
      </c>
    </row>
    <row r="13" spans="1:2" x14ac:dyDescent="0.25">
      <c r="A13" t="s">
        <v>64</v>
      </c>
      <c r="B13" s="18">
        <f>B11+B12</f>
        <v>11409020914.230736</v>
      </c>
    </row>
    <row r="14" spans="1:2" x14ac:dyDescent="0.25">
      <c r="A14" s="19" t="s">
        <v>65</v>
      </c>
      <c r="B14" s="24">
        <f>B13/Assumptions!B31</f>
        <v>5.687385769842992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4613478589.3015995</v>
      </c>
    </row>
    <row r="18" spans="1:2" x14ac:dyDescent="0.25">
      <c r="A18" t="s">
        <v>60</v>
      </c>
      <c r="B18" s="18">
        <f>B17*Assumptions!B13</f>
        <v>53325135085.71623</v>
      </c>
    </row>
    <row r="19" spans="1:2" x14ac:dyDescent="0.25">
      <c r="A19" t="s">
        <v>61</v>
      </c>
      <c r="B19" s="18">
        <f>B18/(1+Assumptions!B26)^(5-0.5*Assumptions!B32)</f>
        <v>40158696033.25906</v>
      </c>
    </row>
    <row r="20" spans="1:2" x14ac:dyDescent="0.25">
      <c r="A20" t="s">
        <v>62</v>
      </c>
      <c r="B20" s="18">
        <f>Forecast!B17+B19</f>
        <v>36290191614.7216</v>
      </c>
    </row>
    <row r="21" spans="1:2" x14ac:dyDescent="0.25">
      <c r="A21" t="s">
        <v>63</v>
      </c>
      <c r="B21" s="18">
        <f>-Assumptions!B30</f>
        <v>-11101100000</v>
      </c>
    </row>
    <row r="22" spans="1:2" x14ac:dyDescent="0.25">
      <c r="A22" t="s">
        <v>64</v>
      </c>
      <c r="B22" s="18">
        <f>B20+B21</f>
        <v>25189091614.721603</v>
      </c>
    </row>
    <row r="23" spans="1:2" x14ac:dyDescent="0.25">
      <c r="A23" s="19" t="s">
        <v>65</v>
      </c>
      <c r="B23" s="25">
        <f>B22/Assumptions!B31</f>
        <v>12.556737539690848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9.326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5.687385769842992</v>
      </c>
    </row>
    <row r="29" spans="1:2" x14ac:dyDescent="0.25">
      <c r="A29" s="19" t="s">
        <v>73</v>
      </c>
      <c r="B29" s="12">
        <f>B28/B26-1</f>
        <v>-0.3901580774348068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0.045043</v>
      </c>
      <c r="B5" s="31">
        <v>14.953490171862688</v>
      </c>
      <c r="C5" s="31">
        <v>16.291499708317854</v>
      </c>
      <c r="D5" s="31">
        <v>18.256775060118056</v>
      </c>
      <c r="E5" s="31">
        <v>21.474789020600788</v>
      </c>
      <c r="F5" s="31">
        <v>27.816603934706556</v>
      </c>
    </row>
    <row r="6" spans="1:6" x14ac:dyDescent="0.25">
      <c r="A6" s="30">
        <v>0.055043</v>
      </c>
      <c r="B6" s="31">
        <v>8.672628828559734</v>
      </c>
      <c r="C6" s="31">
        <v>8.820123773342806</v>
      </c>
      <c r="D6" s="31">
        <v>8.990952959677553</v>
      </c>
      <c r="E6" s="31">
        <v>9.199092892905803</v>
      </c>
      <c r="F6" s="31">
        <v>9.472466598692481</v>
      </c>
    </row>
    <row r="7" spans="1:6" x14ac:dyDescent="0.25">
      <c r="A7" s="30">
        <v>0.065043</v>
      </c>
      <c r="B7" s="31">
        <v>5.559126025119912</v>
      </c>
      <c r="C7" s="31">
        <v>5.623271147091362</v>
      </c>
      <c r="D7" s="32">
        <v>5.687416269062808</v>
      </c>
      <c r="E7" s="31">
        <v>5.751561391034258</v>
      </c>
      <c r="F7" s="31">
        <v>5.815706513005707</v>
      </c>
    </row>
    <row r="8" spans="1:6" x14ac:dyDescent="0.25">
      <c r="A8" s="30">
        <v>0.075043</v>
      </c>
      <c r="B8" s="31">
        <v>3.405452157104976</v>
      </c>
      <c r="C8" s="31">
        <v>3.458759850570408</v>
      </c>
      <c r="D8" s="31">
        <v>3.5120675440358324</v>
      </c>
      <c r="E8" s="31">
        <v>3.565375237501261</v>
      </c>
      <c r="F8" s="31">
        <v>3.6186829309666892</v>
      </c>
    </row>
    <row r="9" spans="1:6" x14ac:dyDescent="0.25">
      <c r="A9" s="30">
        <v>0.085043</v>
      </c>
      <c r="B9" s="31">
        <v>1.7877777529681527</v>
      </c>
      <c r="C9" s="31">
        <v>1.8328974832627194</v>
      </c>
      <c r="D9" s="31">
        <v>1.8780172135572804</v>
      </c>
      <c r="E9" s="31">
        <v>1.9231369438518469</v>
      </c>
      <c r="F9" s="31">
        <v>1.9682566741464098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3652500000</v>
      </c>
      <c r="C5" s="18">
        <v>3147600000</v>
      </c>
      <c r="D5" s="18">
        <v>2918000000</v>
      </c>
      <c r="E5" s="18">
        <v>2558800000</v>
      </c>
      <c r="F5" s="8" t="s">
        <v>84</v>
      </c>
    </row>
    <row r="6" spans="1:6" x14ac:dyDescent="0.25">
      <c r="A6" t="s">
        <v>44</v>
      </c>
      <c r="B6" s="18">
        <v>1703000000</v>
      </c>
      <c r="C6" s="18">
        <v>1342400000</v>
      </c>
      <c r="D6" s="18">
        <v>1305800000</v>
      </c>
      <c r="E6" s="18">
        <v>1159800000</v>
      </c>
      <c r="F6" s="8" t="s">
        <v>85</v>
      </c>
    </row>
    <row r="7" spans="1:6" x14ac:dyDescent="0.25">
      <c r="A7" t="s">
        <v>86</v>
      </c>
      <c r="B7" s="18">
        <v>876400000</v>
      </c>
      <c r="C7" s="18">
        <v>775700000</v>
      </c>
      <c r="D7" s="18">
        <v>736100000</v>
      </c>
      <c r="E7" s="18">
        <v>664800000</v>
      </c>
      <c r="F7" s="8" t="s">
        <v>87</v>
      </c>
    </row>
    <row r="8" spans="1:6" x14ac:dyDescent="0.25">
      <c r="A8" t="s">
        <v>88</v>
      </c>
      <c r="B8" s="18">
        <v>2588300000</v>
      </c>
      <c r="C8" s="18">
        <v>2265000000</v>
      </c>
      <c r="D8" s="18">
        <v>1704700000</v>
      </c>
      <c r="E8" s="18">
        <v>1475000000</v>
      </c>
      <c r="F8" s="8" t="s">
        <v>89</v>
      </c>
    </row>
    <row r="9" spans="1:6" x14ac:dyDescent="0.25">
      <c r="A9" t="s">
        <v>90</v>
      </c>
      <c r="B9" s="18">
        <v>544900000</v>
      </c>
      <c r="C9" s="18">
        <v>510600000</v>
      </c>
      <c r="D9" s="18">
        <v>-721700000</v>
      </c>
      <c r="E9" s="18">
        <v>585800000</v>
      </c>
      <c r="F9" s="8" t="s">
        <v>91</v>
      </c>
    </row>
    <row r="10" spans="1:6" x14ac:dyDescent="0.25">
      <c r="A10" t="s">
        <v>92</v>
      </c>
      <c r="B10" s="18">
        <v>13858700000</v>
      </c>
      <c r="C10" s="18">
        <v>12069400000</v>
      </c>
      <c r="D10" s="18">
        <v>10813600000</v>
      </c>
      <c r="E10" s="18">
        <v>12462900000</v>
      </c>
      <c r="F10" s="8" t="s">
        <v>93</v>
      </c>
    </row>
    <row r="11" spans="1:6" x14ac:dyDescent="0.25">
      <c r="A11" t="s">
        <v>94</v>
      </c>
      <c r="B11" s="18">
        <v>2757600000</v>
      </c>
      <c r="C11" s="18">
        <v>1754600000</v>
      </c>
      <c r="D11" s="18">
        <v>2406700000</v>
      </c>
      <c r="E11" s="18">
        <v>2543100000</v>
      </c>
      <c r="F11" s="8" t="s">
        <v>95</v>
      </c>
    </row>
    <row r="12" spans="1:6" x14ac:dyDescent="0.25">
      <c r="A12" t="s">
        <v>32</v>
      </c>
      <c r="B12" s="34">
        <v>2006021989</v>
      </c>
      <c r="C12" s="34">
        <v>2005778340</v>
      </c>
      <c r="D12" s="34">
        <v>2005710736</v>
      </c>
      <c r="E12" s="34">
        <v>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2026-09-19T00:08:18Z</dcterms:modified>
</cp:coreProperties>
</file>