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<sst xmlns="http://schemas.openxmlformats.org/spreadsheetml/2006/main" count="112" uniqueCount="100">
  <si>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T. Rowe Price Group, Inc. (TROW)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</si>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</sst>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0.04077043516925727</v>
      </c>
    </row>
    <row r="7" spans="1:2" x14ac:dyDescent="0.25">
      <c r="A7" t="s">
        <v>5</v>
      </c>
      <c r="B7" s="6">
        <v>0.34698920169021596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0.08198308079406871</v>
      </c>
    </row>
    <row r="10" spans="1:2" x14ac:dyDescent="0.25">
      <c r="A10" t="s">
        <v>8</v>
      </c>
      <c r="B10" s="6">
        <v>0.045362824635164285</v>
      </c>
    </row>
    <row r="11" spans="1:2" x14ac:dyDescent="0.25">
      <c r="A11" t="s">
        <v>9</v>
      </c>
      <c r="B11" s="6">
        <v>-0.00868741115147686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6.2564401466151995</v>
      </c>
    </row>
    <row r="14" spans="1:3" x14ac:dyDescent="0.25">
      <c r="A14" t="s">
        <v>12</v>
      </c>
      <c r="B14" s="6">
        <v>0.1846667923683613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1.3216</v>
      </c>
      <c r="C19" s="8" t="s">
        <v>19</v>
      </c>
    </row>
    <row r="20" spans="1:2" x14ac:dyDescent="0.25">
      <c r="A20" t="s">
        <v>20</v>
      </c>
      <c r="B20" s="10">
        <f>B17+B19*B18</f>
        <v>0.122668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22218979328</v>
      </c>
    </row>
    <row r="23" spans="1:2" x14ac:dyDescent="0.25">
      <c r="A23" t="s">
        <v>24</v>
      </c>
      <c r="B23" s="11">
        <v>447200000</v>
      </c>
    </row>
    <row r="24" spans="1:2" x14ac:dyDescent="0.25">
      <c r="A24" t="s">
        <v>25</v>
      </c>
      <c r="B24" s="10">
        <f>B22/(B22+B23)</f>
        <v>0.9802701640391787</v>
      </c>
    </row>
    <row r="25" spans="1:2" x14ac:dyDescent="0.25">
      <c r="A25" t="s">
        <v>26</v>
      </c>
      <c r="B25" s="10">
        <f>1-B24</f>
        <v>0.01972983596082134</v>
      </c>
    </row>
    <row r="26" spans="1:2" x14ac:dyDescent="0.25">
      <c r="A26" t="s">
        <v>27</v>
      </c>
      <c r="B26" s="12">
        <f>B24*B20+B25*B21*(1-B8)</f>
        <v>0.12133852867958321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7314800000</v>
      </c>
      <c r="C29" s="8" t="s">
        <v>30</v>
      </c>
    </row>
    <row r="30" spans="1:2" x14ac:dyDescent="0.25">
      <c r="A30" t="s">
        <v>31</v>
      </c>
      <c r="B30" s="11">
        <v>-2931000000</v>
      </c>
    </row>
    <row r="31" spans="1:2" x14ac:dyDescent="0.25">
      <c r="A31" t="s">
        <v>32</v>
      </c>
      <c r="B31" s="13">
        <v>220300000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0.04077043516925727</v>
      </c>
      <c r="C5" s="10">
        <f>Assumptions!B6</f>
        <v>0.04077043516925727</v>
      </c>
      <c r="D5" s="10">
        <f>Assumptions!B6</f>
        <v>0.04077043516925727</v>
      </c>
      <c r="E5" s="10">
        <f>Assumptions!B6</f>
        <v>0.04077043516925727</v>
      </c>
      <c r="F5" s="10">
        <f>Assumptions!B6</f>
        <v>0.04077043516925727</v>
      </c>
    </row>
    <row r="6" spans="1:6" x14ac:dyDescent="0.25">
      <c r="A6" t="s">
        <v>43</v>
      </c>
      <c r="B6" s="18">
        <f>Assumptions!B29*(1+B5)</f>
        <v>7613027579.176083</v>
      </c>
      <c r="C6" s="18">
        <f>B6*(1+C5)</f>
        <v>7923414026.534649</v>
      </c>
      <c r="D6" s="18">
        <f>C6*(1+D5)</f>
        <v>8246455064.422664</v>
      </c>
      <c r="E6" s="18">
        <f>D6*(1+E5)</f>
        <v>8582666626.002901</v>
      </c>
      <c r="F6" s="18">
        <f>E6*(1+F5)</f>
        <v>8932585679.2577</v>
      </c>
    </row>
    <row r="7" spans="1:6" x14ac:dyDescent="0.25">
      <c r="A7" t="s">
        <v>5</v>
      </c>
      <c r="B7" s="10">
        <f>Assumptions!B7</f>
        <v>0.34698920169021596</v>
      </c>
      <c r="C7" s="10">
        <f>Assumptions!B7</f>
        <v>0.34698920169021596</v>
      </c>
      <c r="D7" s="10">
        <f>Assumptions!B7</f>
        <v>0.34698920169021596</v>
      </c>
      <c r="E7" s="10">
        <f>Assumptions!B7</f>
        <v>0.34698920169021596</v>
      </c>
      <c r="F7" s="10">
        <f>Assumptions!B7</f>
        <v>0.34698920169021596</v>
      </c>
    </row>
    <row r="8" spans="1:6" x14ac:dyDescent="0.25">
      <c r="A8" t="s">
        <v>44</v>
      </c>
      <c r="B8" s="18">
        <f>B6*B7</f>
        <v>2641638362.143906</v>
      </c>
      <c r="C8" s="18">
        <f>C6*C7</f>
        <v>2749339107.7283173</v>
      </c>
      <c r="D8" s="18">
        <f>D6*D7</f>
        <v>2861430859.5782585</v>
      </c>
      <c r="E8" s="18">
        <f>E6*E7</f>
        <v>2978092640.930006</v>
      </c>
      <c r="F8" s="18">
        <f>F6*F7</f>
        <v>3099510773.875085</v>
      </c>
    </row>
    <row r="9" spans="1:6" x14ac:dyDescent="0.25">
      <c r="A9" t="s">
        <v>45</v>
      </c>
      <c r="B9" s="18">
        <f>B8*(1-Assumptions!B8)</f>
        <v>2086894306.0936859</v>
      </c>
      <c r="C9" s="18">
        <f>C8*(1-Assumptions!B8)</f>
        <v>2171977895.1053705</v>
      </c>
      <c r="D9" s="18">
        <f>D8*(1-Assumptions!B8)</f>
        <v>2260530379.0668244</v>
      </c>
      <c r="E9" s="18">
        <f>E8*(1-Assumptions!B8)</f>
        <v>2352693186.334705</v>
      </c>
      <c r="F9" s="18">
        <f>F8*(1-Assumptions!B8)</f>
        <v>2448613511.361317</v>
      </c>
    </row>
    <row r="10" spans="1:6" x14ac:dyDescent="0.25">
      <c r="A10" t="s">
        <v>46</v>
      </c>
      <c r="B10" s="18">
        <f>B6*Assumptions!B9</f>
        <v>624139455.1110661</v>
      </c>
      <c r="C10" s="18">
        <f>C6*Assumptions!B9</f>
        <v>649585892.3022474</v>
      </c>
      <c r="D10" s="18">
        <f>D6*Assumptions!B9</f>
        <v>676069791.8112204</v>
      </c>
      <c r="E10" s="18">
        <f>E6*Assumptions!B9</f>
        <v>703633451.4281529</v>
      </c>
      <c r="F10" s="18">
        <f>F6*Assumptions!B9</f>
        <v>732320893.4425251</v>
      </c>
    </row>
    <row r="11" spans="1:6" x14ac:dyDescent="0.25">
      <c r="A11" t="s">
        <v>47</v>
      </c>
      <c r="B11" s="18">
        <f>-B6*Assumptions!B10</f>
        <v>-345348435.0168339</v>
      </c>
      <c r="C11" s="18">
        <f>-C6*Assumptions!B10</f>
        <v>-359428440.9974922</v>
      </c>
      <c r="D11" s="18">
        <f>-D6*Assumptions!B10</f>
        <v>-374082494.94916767</v>
      </c>
      <c r="E11" s="18">
        <f>-E6*Assumptions!B10</f>
        <v>-389334001.0574467</v>
      </c>
      <c r="F11" s="18">
        <f>-F6*Assumptions!B10</f>
        <v>-405207317.7067469</v>
      </c>
    </row>
    <row r="12" spans="1:6" x14ac:dyDescent="0.25">
      <c r="A12" t="s">
        <v>48</v>
      </c>
      <c r="B12" s="18">
        <f>-(B6-Assumptions!B29)*Assumptions!B11</f>
        <v>2590825.5970122484</v>
      </c>
      <c r="C12" s="18">
        <f>-(C6-B6)*Assumptions!B11</f>
        <v>2696454.684050094</v>
      </c>
      <c r="D12" s="18">
        <f>-(D6-C6)*Assumptions!B11</f>
        <v>2806390.3149329983</v>
      </c>
      <c r="E12" s="18">
        <f>-(E6-D6)*Assumptions!B11</f>
        <v>2920808.069327603</v>
      </c>
      <c r="F12" s="18">
        <f>-(F6-E6)*Assumptions!B11</f>
        <v>3039890.685359965</v>
      </c>
    </row>
    <row r="13" spans="1:6" x14ac:dyDescent="0.25">
      <c r="A13" s="19" t="s">
        <v>49</v>
      </c>
      <c r="B13" s="20">
        <f>B9+B10+B11+B12</f>
        <v>2368276151.78493</v>
      </c>
      <c r="C13" s="20">
        <f>C9+C10+C11+C12</f>
        <v>2464831801.094176</v>
      </c>
      <c r="D13" s="20">
        <f>D9+D10+D11+D12</f>
        <v>2565324066.24381</v>
      </c>
      <c r="E13" s="20">
        <f>E9+E10+E11+E12</f>
        <v>2669913444.774739</v>
      </c>
      <c r="F13" s="20">
        <f>F9+F10+F11+F12</f>
        <v>2778766977.7824554</v>
      </c>
    </row>
    <row r="14" spans="1:6" x14ac:dyDescent="0.25">
      <c r="A14" t="s">
        <v>50</v>
      </c>
      <c r="B14" s="21">
        <f>1/(1+Assumptions!$B$26)^(1-0.5*Assumptions!$B$32)</f>
        <v>0.9443470494124956</v>
      </c>
      <c r="C14" s="21">
        <f>1/(1+Assumptions!$B$26)^(2-0.5*Assumptions!$B$32)</f>
        <v>0.8421605298129714</v>
      </c>
      <c r="D14" s="21">
        <f>1/(1+Assumptions!$B$26)^(3-0.5*Assumptions!$B$32)</f>
        <v>0.7510314755746831</v>
      </c>
      <c r="E14" s="21">
        <f>1/(1+Assumptions!$B$26)^(4-0.5*Assumptions!$B$32)</f>
        <v>0.6697633732955292</v>
      </c>
      <c r="F14" s="21">
        <f>1/(1+Assumptions!$B$26)^(5-0.5*Assumptions!$B$32)</f>
        <v>0.5972891826736747</v>
      </c>
    </row>
    <row r="15" spans="1:6" x14ac:dyDescent="0.25">
      <c r="A15" s="19" t="s">
        <v>51</v>
      </c>
      <c r="B15" s="20">
        <f>B13*B14</f>
        <v>2236474596.132078</v>
      </c>
      <c r="C15" s="20">
        <f>C13*C14</f>
        <v>2075784055.5093317</v>
      </c>
      <c r="D15" s="20">
        <f>D13*D14</f>
        <v>1926639118.7983348</v>
      </c>
      <c r="E15" s="20">
        <f>E13*E14</f>
        <v>1788210235.1794155</v>
      </c>
      <c r="F15" s="20">
        <f>F13*F14</f>
        <v>1659727457.00028</v>
      </c>
    </row>
    <row r="17" spans="1:2" x14ac:dyDescent="0.25">
      <c r="A17" s="22" t="s">
        <v>52</v>
      </c>
      <c r="B17" s="23">
        <f>SUM(B15:F15)</f>
        <v>9686835462.61944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2778766977.7824554</v>
      </c>
    </row>
    <row r="5" spans="1:2" x14ac:dyDescent="0.25">
      <c r="A5" t="s">
        <v>56</v>
      </c>
      <c r="B5" s="18">
        <f>IF(Assumptions!$B$33=0,B4,B4-Forecast!F11-Forecast!F10-Forecast!F12)</f>
        <v>2735134741.269821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0.13537896922004053</v>
      </c>
    </row>
    <row r="7" spans="1:2" x14ac:dyDescent="0.25">
      <c r="A7" t="s">
        <v>58</v>
      </c>
      <c r="B7" s="18">
        <f>-MAX(Forecast!F9,0)*B6</f>
        <v>-370279721.9510306</v>
      </c>
    </row>
    <row r="8" spans="1:2" x14ac:dyDescent="0.25">
      <c r="A8" t="s">
        <v>59</v>
      </c>
      <c r="B8" s="18">
        <f>IF(OR(Assumptions!$B$33=0,Assumptions!B12&lt;=0),B5,MAX(B5+B7,0))</f>
        <v>2364855019.3187904</v>
      </c>
    </row>
    <row r="9" spans="1:2" x14ac:dyDescent="0.25">
      <c r="A9" t="s">
        <v>60</v>
      </c>
      <c r="B9" s="18">
        <f>B8*(1+Assumptions!B12)/(Assumptions!B26-Assumptions!B12)</f>
        <v>25161027763.50027</v>
      </c>
    </row>
    <row r="10" spans="1:2" x14ac:dyDescent="0.25">
      <c r="A10" t="s">
        <v>61</v>
      </c>
      <c r="B10" s="18">
        <f>B9/(1+Assumptions!B26)^(5-0.5*Assumptions!B32)</f>
        <v>15028409708.090714</v>
      </c>
    </row>
    <row r="11" spans="1:2" x14ac:dyDescent="0.25">
      <c r="A11" t="s">
        <v>62</v>
      </c>
      <c r="B11" s="18">
        <f>Forecast!B17+B10</f>
        <v>24715245170.71015</v>
      </c>
    </row>
    <row r="12" spans="1:2" x14ac:dyDescent="0.25">
      <c r="A12" t="s">
        <v>63</v>
      </c>
      <c r="B12" s="18">
        <f>-Assumptions!B30</f>
        <v>2931000000</v>
      </c>
    </row>
    <row r="13" spans="1:2" x14ac:dyDescent="0.25">
      <c r="A13" t="s">
        <v>64</v>
      </c>
      <c r="B13" s="18">
        <f>B11+B12</f>
        <v>27646245170.71015</v>
      </c>
    </row>
    <row r="14" spans="1:2" x14ac:dyDescent="0.25">
      <c r="A14" s="19" t="s">
        <v>65</v>
      </c>
      <c r="B14" s="24">
        <f>B13/Assumptions!B31</f>
        <v>125.49362310808058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3831831667.31761</v>
      </c>
    </row>
    <row r="18" spans="1:2" x14ac:dyDescent="0.25">
      <c r="A18" t="s">
        <v>60</v>
      </c>
      <c r="B18" s="18">
        <f>B17*Assumptions!B13</f>
        <v>23973625478.477352</v>
      </c>
    </row>
    <row r="19" spans="1:2" x14ac:dyDescent="0.25">
      <c r="A19" t="s">
        <v>61</v>
      </c>
      <c r="B19" s="18">
        <f>B18/(1+Assumptions!B26)^(5-0.5*Assumptions!B32)</f>
        <v>14319187167.76452</v>
      </c>
    </row>
    <row r="20" spans="1:2" x14ac:dyDescent="0.25">
      <c r="A20" t="s">
        <v>62</v>
      </c>
      <c r="B20" s="18">
        <f>Forecast!B17+B19</f>
        <v>24006022630.38396</v>
      </c>
    </row>
    <row r="21" spans="1:2" x14ac:dyDescent="0.25">
      <c r="A21" t="s">
        <v>63</v>
      </c>
      <c r="B21" s="18">
        <f>-Assumptions!B30</f>
        <v>2931000000</v>
      </c>
    </row>
    <row r="22" spans="1:2" x14ac:dyDescent="0.25">
      <c r="A22" t="s">
        <v>64</v>
      </c>
      <c r="B22" s="18">
        <f>B20+B21</f>
        <v>26937022630.38396</v>
      </c>
    </row>
    <row r="23" spans="1:2" x14ac:dyDescent="0.25">
      <c r="A23" s="19" t="s">
        <v>65</v>
      </c>
      <c r="B23" s="25">
        <f>B22/Assumptions!B31</f>
        <v>122.27427430950505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104.16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125.49362310808058</v>
      </c>
    </row>
    <row r="29" spans="1:2" x14ac:dyDescent="0.25">
      <c r="A29" s="19" t="s">
        <v>73</v>
      </c>
      <c r="B29" s="12">
        <f>B28/B26-1</f>
        <v>0.20481589005453715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0.101339</v>
      </c>
      <c r="B5" s="31">
        <v>146.04434627548162</v>
      </c>
      <c r="C5" s="31">
        <v>149.10722230656665</v>
      </c>
      <c r="D5" s="31">
        <v>152.54279836888819</v>
      </c>
      <c r="E5" s="31">
        <v>156.4294397390628</v>
      </c>
      <c r="F5" s="31">
        <v>160.86913739702374</v>
      </c>
    </row>
    <row r="6" spans="1:6" x14ac:dyDescent="0.25">
      <c r="A6" s="30">
        <v>0.111339</v>
      </c>
      <c r="B6" s="31">
        <v>132.95063238059035</v>
      </c>
      <c r="C6" s="31">
        <v>135.0956191557745</v>
      </c>
      <c r="D6" s="31">
        <v>137.46483178844974</v>
      </c>
      <c r="E6" s="31">
        <v>140.0996205271115</v>
      </c>
      <c r="F6" s="31">
        <v>143.05216894227817</v>
      </c>
    </row>
    <row r="7" spans="1:6" x14ac:dyDescent="0.25">
      <c r="A7" s="30">
        <v>0.121339</v>
      </c>
      <c r="B7" s="31">
        <v>122.30801928616359</v>
      </c>
      <c r="C7" s="31">
        <v>123.83189932162576</v>
      </c>
      <c r="D7" s="32">
        <v>125.49311688026104</v>
      </c>
      <c r="E7" s="31">
        <v>127.3142259953696</v>
      </c>
      <c r="F7" s="31">
        <v>129.32300522990784</v>
      </c>
    </row>
    <row r="8" spans="1:6" x14ac:dyDescent="0.25">
      <c r="A8" s="30">
        <v>0.131339</v>
      </c>
      <c r="B8" s="31">
        <v>113.4850252526139</v>
      </c>
      <c r="C8" s="31">
        <v>114.5765152182312</v>
      </c>
      <c r="D8" s="31">
        <v>115.75250566135215</v>
      </c>
      <c r="E8" s="31">
        <v>117.02550417690624</v>
      </c>
      <c r="F8" s="31">
        <v>118.41061493959417</v>
      </c>
    </row>
    <row r="9" spans="1:6" x14ac:dyDescent="0.25">
      <c r="A9" s="30">
        <v>0.141339</v>
      </c>
      <c r="B9" s="31">
        <v>106.05006540644582</v>
      </c>
      <c r="C9" s="31">
        <v>106.833662718979</v>
      </c>
      <c r="D9" s="31">
        <v>107.66867594008288</v>
      </c>
      <c r="E9" s="31">
        <v>108.56203201025956</v>
      </c>
      <c r="F9" s="31">
        <v>109.52196067340441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7314800000</v>
      </c>
      <c r="C5" s="18">
        <v>7093600000</v>
      </c>
      <c r="D5" s="18">
        <v>6460500000</v>
      </c>
      <c r="E5" s="18">
        <v>6488400000</v>
      </c>
      <c r="F5" s="8" t="s">
        <v>84</v>
      </c>
    </row>
    <row r="6" spans="1:6" x14ac:dyDescent="0.25">
      <c r="A6" t="s">
        <v>44</v>
      </c>
      <c r="B6" s="18">
        <v>2477400000</v>
      </c>
      <c r="C6" s="18">
        <v>2476600000</v>
      </c>
      <c r="D6" s="18">
        <v>2038000000</v>
      </c>
      <c r="E6" s="18">
        <v>2496000000</v>
      </c>
      <c r="F6" s="8" t="s">
        <v>85</v>
      </c>
    </row>
    <row r="7" spans="1:6" x14ac:dyDescent="0.25">
      <c r="A7" t="s">
        <v>86</v>
      </c>
      <c r="B7" s="18">
        <v>605500000</v>
      </c>
      <c r="C7" s="18">
        <v>504200000</v>
      </c>
      <c r="D7" s="18">
        <v>481600000</v>
      </c>
      <c r="E7" s="18">
        <v>645800000</v>
      </c>
      <c r="F7" s="8" t="s">
        <v>87</v>
      </c>
    </row>
    <row r="8" spans="1:6" x14ac:dyDescent="0.25">
      <c r="A8" t="s">
        <v>88</v>
      </c>
      <c r="B8" s="18">
        <v>274200000</v>
      </c>
      <c r="C8" s="18">
        <v>423400000</v>
      </c>
      <c r="D8" s="18">
        <v>307900000</v>
      </c>
      <c r="E8" s="18">
        <v>237600000</v>
      </c>
      <c r="F8" s="8" t="s">
        <v>89</v>
      </c>
    </row>
    <row r="9" spans="1:6" x14ac:dyDescent="0.25">
      <c r="A9" t="s">
        <v>90</v>
      </c>
      <c r="B9" s="18">
        <v>-169800000</v>
      </c>
      <c r="C9" s="18">
        <v>-5500000</v>
      </c>
      <c r="D9" s="18">
        <v>-193600000</v>
      </c>
      <c r="E9" s="18">
        <v>139900000</v>
      </c>
      <c r="F9" s="8" t="s">
        <v>91</v>
      </c>
    </row>
    <row r="10" spans="1:6" x14ac:dyDescent="0.25">
      <c r="A10" t="s">
        <v>92</v>
      </c>
      <c r="B10" s="18">
        <v>447200000</v>
      </c>
      <c r="C10" s="18">
        <v>278700000</v>
      </c>
      <c r="D10" s="18">
        <v>308500000</v>
      </c>
      <c r="E10" s="18">
        <v>329600000</v>
      </c>
      <c r="F10" s="8" t="s">
        <v>93</v>
      </c>
    </row>
    <row r="11" spans="1:6" x14ac:dyDescent="0.25">
      <c r="A11" t="s">
        <v>94</v>
      </c>
      <c r="B11" s="18">
        <v>3378200000</v>
      </c>
      <c r="C11" s="18">
        <v>2649800000</v>
      </c>
      <c r="D11" s="18">
        <v>2066600000</v>
      </c>
      <c r="E11" s="18">
        <v>1755600000</v>
      </c>
      <c r="F11" s="8" t="s">
        <v>95</v>
      </c>
    </row>
    <row r="12" spans="1:6" x14ac:dyDescent="0.25">
      <c r="A12" t="s">
        <v>32</v>
      </c>
      <c r="B12" s="34">
        <v>220300000</v>
      </c>
      <c r="C12" s="34">
        <v>223300000</v>
      </c>
      <c r="D12" s="34">
        <v>224800000</v>
      </c>
      <c r="E12" s="34">
        <v>227100000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2026-09-19T00:07:23Z</dcterms:modified>
</cp:coreProperties>
</file>