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cess Returns" state="visible" r:id="rId4"/>
    <sheet sheetId="2" name="Source data" state="visible" r:id="rId5"/>
  </sheets>
  <calcPr calcId="171027" fullCalcOnLoad="1"/>
</workbook>
</file>

<file path=xl/sharedStrings.xml><?xml version="1.0" encoding="utf-8"?>
<sst xmlns="http://schemas.openxmlformats.org/spreadsheetml/2006/main" count="70" uniqueCount="67">
  <si>
    <t>T. Rowe Price Group, Inc. (TROW)</t>
  </si>
  <si>
    <t>DCF Studio - excess returns over book equity</t>
  </si>
  <si>
    <t>Inputs</t>
  </si>
  <si>
    <t>Risk-free rate</t>
  </si>
  <si>
    <t>US 10-year Treasury (^TNX), 2026-11-02</t>
  </si>
  <si>
    <t>Equity risk premium</t>
  </si>
  <si>
    <t>Damodaran, January 2026</t>
  </si>
  <si>
    <t>Beta</t>
  </si>
  <si>
    <t>Cost of equity</t>
  </si>
  <si>
    <t>Return on equity, median</t>
  </si>
  <si>
    <t>Payout, median</t>
  </si>
  <si>
    <t>Return on equity ceiling</t>
  </si>
  <si>
    <t>Terminal growth</t>
  </si>
  <si>
    <t>Book equity (USD m)</t>
  </si>
  <si>
    <t>Diluted shares</t>
  </si>
  <si>
    <t>Years</t>
  </si>
  <si>
    <t>Book growth, year 1</t>
  </si>
  <si>
    <t>Return on equity, final year</t>
  </si>
  <si>
    <t>USD m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</si>
  <si>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</si>
  <si>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</si>
  <si>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</si>
  <si>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</si>
  <si>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</si>
  <si>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</si>
  <si>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</si>
  <si>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</si>
  <si>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</si>
  <si>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</si>
  <si>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Year</t>
  </si>
  <si>
    <t>Return on equity</t>
  </si>
  <si>
    <t>Book growth</t>
  </si>
  <si>
    <t>Opening book equity</t>
  </si>
  <si>
    <t>Excess return</t>
  </si>
  <si>
    <t>Discount factor</t>
  </si>
  <si>
    <t>Present value</t>
  </si>
  <si>
    <t>Value (USD m, except per share)</t>
  </si>
  <si>
    <t>Book equity</t>
  </si>
  <si>
    <t>Present value of excess returns</t>
  </si>
  <si>
    <t>Book equity after the final year</t>
  </si>
  <si>
    <t>Excess return after the final year</t>
  </si>
  <si>
    <t>Terminal value</t>
  </si>
  <si>
    <t>Terminal value, discounted</t>
  </si>
  <si>
    <t>Equity value</t>
  </si>
  <si>
    <t>Value per share (USD)</t>
  </si>
  <si>
    <t>Against the market</t>
  </si>
  <si>
    <t>Market price (USD)</t>
  </si>
  <si>
    <t>Conversion, USD to USD</t>
  </si>
  <si>
    <t>Implied upside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</si>
  <si>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</si>
  <si>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</si>
  <si>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</si>
  <si>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</si>
  <si>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</si>
  <si>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</si>
  <si>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</si>
  <si>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Net income to common</t>
  </si>
  <si>
    <t>netIncomeCommonStockholders</t>
  </si>
  <si>
    <t>commonStockEquity</t>
  </si>
  <si>
    <t>Dividends paid</t>
  </si>
  <si>
    <t>cashDividendsPaid</t>
  </si>
  <si>
    <t>dilutedAverageShares</t>
  </si>
  <si>
    <t>Return on opening equity</t>
  </si>
  <si>
    <t>Payout</t>
  </si>
  <si>
    <t>Model notes</t>
  </si>
  <si>
    <t>Note: A financial, valued on excess returns over book equity.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</si>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</sst>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00"/>
    <numFmt numFmtId="165" formatCode="#,##0.0,,;[Red](#,##0.0,,)"/>
    <numFmt numFmtId="166" formatCode="0.0000"/>
    <numFmt numFmtId="167" formatCode="#,##0.00;[Red](#,##0.00)"/>
  </numFmts>
  <fonts count="9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0" fontId="0" fillId="0" borderId="0" xfId="0" applyNumberFormat="1"/>
    <xf numFmtId="165" fontId="0" fillId="0" borderId="0" xfId="0" applyNumberFormat="1"/>
    <xf numFmtId="3" fontId="0" fillId="0" borderId="0" xfId="0" applyNumberFormat="1"/>
    <xf numFmtId="1" fontId="0" fillId="0" borderId="0" xfId="0" applyNumberForma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5" fontId="6" fillId="0" borderId="0" xfId="0" applyNumberFormat="1" applyFont="1"/>
    <xf numFmtId="167" fontId="6" fillId="0" borderId="0" xfId="0" applyNumberFormat="1" applyFont="1"/>
    <xf numFmtId="167" fontId="4" fillId="2" borderId="0" xfId="0" applyNumberFormat="1" applyFont="1" applyFill="1"/>
    <xf numFmtId="166" fontId="4" fillId="2" borderId="0" xfId="0" applyNumberFormat="1" applyFont="1" applyFill="1"/>
    <xf numFmtId="167" fontId="0" fillId="0" borderId="0" xfId="0" applyNumberFormat="1"/>
    <xf numFmtId="10" fontId="6" fillId="0" borderId="0" xfId="0" applyNumberFormat="1" applyFont="1"/>
    <xf numFmtId="0" fontId="7" fillId="0" borderId="0" xfId="0" applyFont="1"/>
    <xf numFmtId="0" fontId="8" fillId="0" borderId="1" xfId="0" applyFont="1" applyBorder="1" applyAlignment="1">
      <alignment indent="1"/>
    </xf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11" width="13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3" x14ac:dyDescent="0.25">
      <c r="A6" t="s">
        <v>3</v>
      </c>
      <c r="B6" s="5">
        <v>0.048940000000000004</v>
      </c>
      <c r="C6" s="6" t="s">
        <v>4</v>
      </c>
    </row>
    <row r="7" spans="1:3" x14ac:dyDescent="0.25">
      <c r="A7" t="s">
        <v>5</v>
      </c>
      <c r="B7" s="5">
        <v>0.0423</v>
      </c>
      <c r="C7" s="6" t="s">
        <v>6</v>
      </c>
    </row>
    <row r="8" spans="1:2" x14ac:dyDescent="0.25">
      <c r="A8" t="s">
        <v>7</v>
      </c>
      <c r="B8" s="7">
        <v>1.3155700000000001</v>
      </c>
    </row>
    <row r="9" spans="1:2" x14ac:dyDescent="0.25">
      <c r="A9" t="s">
        <v>8</v>
      </c>
      <c r="B9" s="8">
        <f>B6+B8*B7</f>
        <v>0.104588611</v>
      </c>
    </row>
    <row r="10" spans="1:2" x14ac:dyDescent="0.25">
      <c r="A10" t="s">
        <v>9</v>
      </c>
      <c r="B10" s="8">
        <f>MEDIAN('Source data'!B9:E9)</f>
        <v>0.19733016573335596</v>
      </c>
    </row>
    <row r="11" spans="1:2" x14ac:dyDescent="0.25">
      <c r="A11" t="s">
        <v>10</v>
      </c>
      <c r="B11" s="8">
        <f>IFERROR(MIN(MAX(MEDIAN('Source data'!B10:E10),0),1),0)</f>
        <v>0.5612570586791064</v>
      </c>
    </row>
    <row r="12" spans="1:2" x14ac:dyDescent="0.25">
      <c r="A12" t="s">
        <v>11</v>
      </c>
      <c r="B12" s="5">
        <v>0.2</v>
      </c>
    </row>
    <row r="13" spans="1:2" x14ac:dyDescent="0.25">
      <c r="A13" t="s">
        <v>12</v>
      </c>
      <c r="B13" s="5">
        <v>0.025</v>
      </c>
    </row>
    <row r="14" spans="1:2" x14ac:dyDescent="0.25">
      <c r="A14" t="s">
        <v>13</v>
      </c>
      <c r="B14" s="9">
        <f>'Source data'!B6</f>
        <v>10860100000</v>
      </c>
    </row>
    <row r="15" spans="1:2" x14ac:dyDescent="0.25">
      <c r="A15" t="s">
        <v>14</v>
      </c>
      <c r="B15" s="10">
        <f>'Source data'!B8</f>
        <v>220300000</v>
      </c>
    </row>
    <row r="16" spans="1:2" x14ac:dyDescent="0.25">
      <c r="A16" t="s">
        <v>15</v>
      </c>
      <c r="B16" s="11">
        <f>COUNT(B21:K21)</f>
        <v>10</v>
      </c>
    </row>
    <row r="17" spans="1:2" x14ac:dyDescent="0.25">
      <c r="A17" t="s">
        <v>16</v>
      </c>
      <c r="B17" s="8">
        <f>MIN(MAX(B10*(1-B11),0),0.2)</f>
        <v>0.08657721732519201</v>
      </c>
    </row>
    <row r="18" spans="1:2" x14ac:dyDescent="0.25">
      <c r="A18" t="s">
        <v>17</v>
      </c>
      <c r="B18" s="8">
        <f>MIN(B10,B12)</f>
        <v>0.19733016573335596</v>
      </c>
    </row>
    <row r="20" spans="1:11" x14ac:dyDescent="0.25">
      <c r="A20" s="12" t="s">
        <v>18</v>
      </c>
      <c r="B20" s="13" t="s">
        <v>19</v>
      </c>
      <c r="C20" s="13" t="s">
        <v>20</v>
      </c>
      <c r="D20" s="13" t="s">
        <v>21</v>
      </c>
      <c r="E20" s="13" t="s">
        <v>22</v>
      </c>
      <c r="F20" s="13" t="s">
        <v>23</v>
      </c>
      <c r="G20" s="13" t="s">
        <v>24</v>
      </c>
      <c r="H20" s="13" t="s">
        <v>25</v>
      </c>
      <c r="I20" s="13" t="s">
        <v>26</v>
      </c>
      <c r="J20" s="13" t="s">
        <v>27</v>
      </c>
      <c r="K20" s="13" t="s">
        <v>28</v>
      </c>
    </row>
    <row r="21" spans="1:11" x14ac:dyDescent="0.25">
      <c r="A21" t="s">
        <v>29</v>
      </c>
      <c r="B21" s="11">
        <f>1</f>
        <v>1</v>
      </c>
      <c r="C21" s="11">
        <f>B21+1</f>
        <v>2</v>
      </c>
      <c r="D21" s="11">
        <f>C21+1</f>
        <v>3</v>
      </c>
      <c r="E21" s="11">
        <f>D21+1</f>
        <v>4</v>
      </c>
      <c r="F21" s="11">
        <f>E21+1</f>
        <v>5</v>
      </c>
      <c r="G21" s="11">
        <f>F21+1</f>
        <v>6</v>
      </c>
      <c r="H21" s="11">
        <f>G21+1</f>
        <v>7</v>
      </c>
      <c r="I21" s="11">
        <f>H21+1</f>
        <v>8</v>
      </c>
      <c r="J21" s="11">
        <f>I21+1</f>
        <v>9</v>
      </c>
      <c r="K21" s="11">
        <f>J21+1</f>
        <v>10</v>
      </c>
    </row>
    <row r="22" spans="1:11" x14ac:dyDescent="0.25">
      <c r="A22" t="s">
        <v>30</v>
      </c>
      <c r="B22" s="8">
        <f>$B$10+($B$18-$B$10)*B21/$B$16</f>
        <v>0.19733016573335596</v>
      </c>
      <c r="C22" s="8">
        <f>$B$10+($B$18-$B$10)*C21/$B$16</f>
        <v>0.19733016573335596</v>
      </c>
      <c r="D22" s="8">
        <f>$B$10+($B$18-$B$10)*D21/$B$16</f>
        <v>0.19733016573335596</v>
      </c>
      <c r="E22" s="8">
        <f>$B$10+($B$18-$B$10)*E21/$B$16</f>
        <v>0.19733016573335596</v>
      </c>
      <c r="F22" s="8">
        <f>$B$10+($B$18-$B$10)*F21/$B$16</f>
        <v>0.19733016573335596</v>
      </c>
      <c r="G22" s="8">
        <f>$B$10+($B$18-$B$10)*G21/$B$16</f>
        <v>0.19733016573335596</v>
      </c>
      <c r="H22" s="8">
        <f>$B$10+($B$18-$B$10)*H21/$B$16</f>
        <v>0.19733016573335596</v>
      </c>
      <c r="I22" s="8">
        <f>$B$10+($B$18-$B$10)*I21/$B$16</f>
        <v>0.19733016573335596</v>
      </c>
      <c r="J22" s="8">
        <f>$B$10+($B$18-$B$10)*J21/$B$16</f>
        <v>0.19733016573335596</v>
      </c>
      <c r="K22" s="8">
        <f>$B$10+($B$18-$B$10)*K21/$B$16</f>
        <v>0.19733016573335596</v>
      </c>
    </row>
    <row r="23" spans="1:11" x14ac:dyDescent="0.25">
      <c r="A23" t="s">
        <v>31</v>
      </c>
      <c r="B23" s="8">
        <f>$B$17+($B$13-$B$17)*B21/$B$16</f>
        <v>0.08041949559267281</v>
      </c>
      <c r="C23" s="8">
        <f>$B$17+($B$13-$B$17)*C21/$B$16</f>
        <v>0.0742617738601536</v>
      </c>
      <c r="D23" s="8">
        <f>$B$17+($B$13-$B$17)*D21/$B$16</f>
        <v>0.0681040521276344</v>
      </c>
      <c r="E23" s="8">
        <f>$B$17+($B$13-$B$17)*E21/$B$16</f>
        <v>0.061946330395115205</v>
      </c>
      <c r="F23" s="8">
        <f>$B$17+($B$13-$B$17)*F21/$B$16</f>
        <v>0.05578860866259601</v>
      </c>
      <c r="G23" s="8">
        <f>$B$17+($B$13-$B$17)*G21/$B$16</f>
        <v>0.049630886930076806</v>
      </c>
      <c r="H23" s="8">
        <f>$B$17+($B$13-$B$17)*H21/$B$16</f>
        <v>0.0434731651975576</v>
      </c>
      <c r="I23" s="8">
        <f>$B$17+($B$13-$B$17)*I21/$B$16</f>
        <v>0.0373154434650384</v>
      </c>
      <c r="J23" s="8">
        <f>$B$17+($B$13-$B$17)*J21/$B$16</f>
        <v>0.031157721732519204</v>
      </c>
      <c r="K23" s="8">
        <f>$B$17+($B$13-$B$17)*K21/$B$16</f>
        <v>0.025</v>
      </c>
    </row>
    <row r="24" spans="1:11" x14ac:dyDescent="0.25">
      <c r="A24" t="s">
        <v>32</v>
      </c>
      <c r="B24" s="9">
        <f>$B$14</f>
        <v>10860100000</v>
      </c>
      <c r="C24" s="9">
        <f>B24*(1+B23)</f>
        <v>11733463764.085985</v>
      </c>
      <c r="D24" s="9">
        <f>C24*(1+C23)</f>
        <v>12604811596.730846</v>
      </c>
      <c r="E24" s="9">
        <f>D24*(1+D23)</f>
        <v>13463250342.773615</v>
      </c>
      <c r="F24" s="9">
        <f>E24*(1+E23)</f>
        <v>14297249296.699215</v>
      </c>
      <c r="G24" s="9">
        <f>F24*(1+F23)</f>
        <v>15094872942.664345</v>
      </c>
      <c r="H24" s="9">
        <f>G24*(1+G23)</f>
        <v>15844044874.905594</v>
      </c>
      <c r="I24" s="9">
        <f>H24*(1+H23)</f>
        <v>16532835655.14988</v>
      </c>
      <c r="J24" s="9">
        <f>I24*(1+I23)</f>
        <v>17149765749.356398</v>
      </c>
      <c r="K24" s="9">
        <f>J24*(1+J23)</f>
        <v>17684113378.352734</v>
      </c>
    </row>
    <row r="25" spans="1:11" x14ac:dyDescent="0.25">
      <c r="A25" t="s">
        <v>33</v>
      </c>
      <c r="B25" s="9">
        <f>(B22-$B$9)*B24</f>
        <v>1007182558.5597191</v>
      </c>
      <c r="C25" s="9">
        <f>(C22-$B$9)*C24</f>
        <v>1088179671.8888292</v>
      </c>
      <c r="D25" s="9">
        <f>(D22-$B$9)*D24</f>
        <v>1168989824.6018538</v>
      </c>
      <c r="E25" s="9">
        <f>(E22-$B$9)*E24</f>
        <v>1248602768.5532126</v>
      </c>
      <c r="F25" s="9">
        <f>(F22-$B$9)*F24</f>
        <v>1325949128.1862652</v>
      </c>
      <c r="G25" s="9">
        <f>(G22-$B$9)*G24</f>
        <v>1399921985.2051594</v>
      </c>
      <c r="H25" s="9">
        <f>(H22-$B$9)*H24</f>
        <v>1469401354.9638052</v>
      </c>
      <c r="I25" s="9">
        <f>(I22-$B$9)*I24</f>
        <v>1533280882.8096616</v>
      </c>
      <c r="J25" s="9">
        <f>(J22-$B$9)*J24</f>
        <v>1590495938.9081697</v>
      </c>
      <c r="K25" s="9">
        <f>(K22-$B$9)*K24</f>
        <v>1640052168.7893724</v>
      </c>
    </row>
    <row r="26" spans="1:11" x14ac:dyDescent="0.25">
      <c r="A26" t="s">
        <v>34</v>
      </c>
      <c r="B26" s="14">
        <f>1/(1+$B$9)^B21</f>
        <v>0.9053144220767273</v>
      </c>
      <c r="C26" s="14">
        <f>1/(1+$B$9)^C21</f>
        <v>0.8195942028201187</v>
      </c>
      <c r="D26" s="14">
        <f>1/(1+$B$9)^D21</f>
        <v>0.7419904520635318</v>
      </c>
      <c r="E26" s="14">
        <f>1/(1+$B$9)^E21</f>
        <v>0.671734657296346</v>
      </c>
      <c r="F26" s="14">
        <f>1/(1+$B$9)^F21</f>
        <v>0.6081310730591499</v>
      </c>
      <c r="G26" s="14">
        <f>1/(1+$B$9)^G21</f>
        <v>0.5505498309534443</v>
      </c>
      <c r="H26" s="14">
        <f>1/(1+$B$9)^H21</f>
        <v>0.4984207020340574</v>
      </c>
      <c r="I26" s="14">
        <f>1/(1+$B$9)^I21</f>
        <v>0.4512274498130393</v>
      </c>
      <c r="J26" s="14">
        <f>1/(1+$B$9)^J21</f>
        <v>0.4085027179526472</v>
      </c>
      <c r="K26" s="14">
        <f>1/(1+$B$9)^K21</f>
        <v>0.36982340202007313</v>
      </c>
    </row>
    <row r="27" spans="1:11" x14ac:dyDescent="0.25">
      <c r="A27" s="15" t="s">
        <v>35</v>
      </c>
      <c r="B27" s="16">
        <f>B25*B26</f>
        <v>911816895.9282516</v>
      </c>
      <c r="C27" s="16">
        <f>C25*C26</f>
        <v>891865750.7067834</v>
      </c>
      <c r="D27" s="16">
        <f>D25*D26</f>
        <v>867379288.4139982</v>
      </c>
      <c r="E27" s="16">
        <f>E25*E26</f>
        <v>838729752.833361</v>
      </c>
      <c r="F27" s="16">
        <f>F25*F26</f>
        <v>806350866.1457578</v>
      </c>
      <c r="G27" s="16">
        <f>G25*G26</f>
        <v>770726812.3027107</v>
      </c>
      <c r="H27" s="16">
        <f>H25*H26</f>
        <v>732380054.9108549</v>
      </c>
      <c r="I27" s="16">
        <f>I25*I26</f>
        <v>691858422.5972892</v>
      </c>
      <c r="J27" s="16">
        <f>J25*J26</f>
        <v>649721913.9366349</v>
      </c>
      <c r="K27" s="16">
        <f>K25*K26</f>
        <v>606529672.5520849</v>
      </c>
    </row>
    <row r="29" spans="1:3" x14ac:dyDescent="0.25">
      <c r="A29" s="3" t="s">
        <v>36</v>
      </c>
      <c r="B29" s="4"/>
      <c r="C29" s="4"/>
    </row>
    <row r="30" spans="1:2" x14ac:dyDescent="0.25">
      <c r="A30" t="s">
        <v>37</v>
      </c>
      <c r="B30" s="9">
        <f>B14</f>
        <v>10860100000</v>
      </c>
    </row>
    <row r="31" spans="1:2" x14ac:dyDescent="0.25">
      <c r="A31" t="s">
        <v>38</v>
      </c>
      <c r="B31" s="9">
        <f>SUM(B27:K27)</f>
        <v>7767359430.327727</v>
      </c>
    </row>
    <row r="32" spans="1:2" x14ac:dyDescent="0.25">
      <c r="A32" t="s">
        <v>39</v>
      </c>
      <c r="B32" s="9">
        <f>K24*(1+K23)</f>
        <v>18126216212.81155</v>
      </c>
    </row>
    <row r="33" spans="1:2" x14ac:dyDescent="0.25">
      <c r="A33" t="s">
        <v>40</v>
      </c>
      <c r="B33" s="9">
        <f>(B18-B9)*B32</f>
        <v>1681053473.0091066</v>
      </c>
    </row>
    <row r="34" spans="1:2" x14ac:dyDescent="0.25">
      <c r="A34" t="s">
        <v>41</v>
      </c>
      <c r="B34" s="9">
        <f>B33/(B9-B13)</f>
        <v>21121784284.049217</v>
      </c>
    </row>
    <row r="35" spans="1:2" x14ac:dyDescent="0.25">
      <c r="A35" t="s">
        <v>42</v>
      </c>
      <c r="B35" s="9">
        <f>B34*K26</f>
        <v>7811330120.661197</v>
      </c>
    </row>
    <row r="36" spans="1:2" x14ac:dyDescent="0.25">
      <c r="A36" s="15" t="s">
        <v>43</v>
      </c>
      <c r="B36" s="16">
        <f>B30+B31+B35</f>
        <v>26438789550.988926</v>
      </c>
    </row>
    <row r="37" spans="1:2" x14ac:dyDescent="0.25">
      <c r="A37" s="15" t="s">
        <v>44</v>
      </c>
      <c r="B37" s="17">
        <f>B36/B15</f>
        <v>120.01266251016308</v>
      </c>
    </row>
    <row r="39" spans="1:3" x14ac:dyDescent="0.25">
      <c r="A39" s="3" t="s">
        <v>45</v>
      </c>
      <c r="B39" s="4"/>
      <c r="C39" s="4"/>
    </row>
    <row r="40" spans="1:2" x14ac:dyDescent="0.25">
      <c r="A40" t="s">
        <v>46</v>
      </c>
      <c r="B40" s="18">
        <v>103.9</v>
      </c>
    </row>
    <row r="41" spans="1:2" x14ac:dyDescent="0.25">
      <c r="A41" t="s">
        <v>47</v>
      </c>
      <c r="B41" s="19">
        <v>1</v>
      </c>
    </row>
    <row r="42" spans="1:2" x14ac:dyDescent="0.25">
      <c r="A42" t="s">
        <v>44</v>
      </c>
      <c r="B42" s="20">
        <f>B37*B41</f>
        <v>120.01266251016308</v>
      </c>
    </row>
    <row r="43" spans="1:2" x14ac:dyDescent="0.25">
      <c r="A43" s="15" t="s">
        <v>48</v>
      </c>
      <c r="B43" s="21">
        <f>B42/B40-1</f>
        <v>0.155078561214274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22" t="s">
        <v>49</v>
      </c>
    </row>
    <row r="4" spans="1:6" x14ac:dyDescent="0.25">
      <c r="A4" s="12" t="s">
        <v>50</v>
      </c>
      <c r="B4" s="13" t="s">
        <v>51</v>
      </c>
      <c r="C4" s="13" t="s">
        <v>52</v>
      </c>
      <c r="D4" s="13" t="s">
        <v>53</v>
      </c>
      <c r="E4" s="13" t="s">
        <v>54</v>
      </c>
      <c r="F4" s="23" t="s">
        <v>55</v>
      </c>
    </row>
    <row r="5" spans="1:6" x14ac:dyDescent="0.25">
      <c r="A5" t="s">
        <v>56</v>
      </c>
      <c r="B5" s="9">
        <v>2036500000</v>
      </c>
      <c r="C5" s="9">
        <v>2044300000</v>
      </c>
      <c r="D5" s="9">
        <v>1744300000</v>
      </c>
      <c r="E5" s="9">
        <v>1521800000</v>
      </c>
      <c r="F5" s="6" t="s">
        <v>57</v>
      </c>
    </row>
    <row r="6" spans="1:6" x14ac:dyDescent="0.25">
      <c r="A6" t="s">
        <v>37</v>
      </c>
      <c r="B6" s="9">
        <v>10860100000</v>
      </c>
      <c r="C6" s="9">
        <v>10345400000</v>
      </c>
      <c r="D6" s="9">
        <v>9505100000</v>
      </c>
      <c r="E6" s="9">
        <v>8839500000</v>
      </c>
      <c r="F6" s="6" t="s">
        <v>58</v>
      </c>
    </row>
    <row r="7" spans="1:6" x14ac:dyDescent="0.25">
      <c r="A7" t="s">
        <v>59</v>
      </c>
      <c r="B7" s="9">
        <v>1143000000</v>
      </c>
      <c r="C7" s="9">
        <v>1135600000</v>
      </c>
      <c r="D7" s="9">
        <v>1121700000</v>
      </c>
      <c r="E7" s="9">
        <v>1107400000</v>
      </c>
      <c r="F7" s="6" t="s">
        <v>60</v>
      </c>
    </row>
    <row r="8" spans="1:6" x14ac:dyDescent="0.25">
      <c r="A8" t="s">
        <v>14</v>
      </c>
      <c r="B8" s="10">
        <v>220300000</v>
      </c>
      <c r="C8" s="10">
        <v>223300000</v>
      </c>
      <c r="D8" s="10">
        <v>224800000</v>
      </c>
      <c r="E8" s="10">
        <v>227100000</v>
      </c>
      <c r="F8" s="6" t="s">
        <v>61</v>
      </c>
    </row>
    <row r="9" spans="1:5" x14ac:dyDescent="0.25">
      <c r="A9" t="s">
        <v>62</v>
      </c>
      <c r="B9" s="8">
        <f>IF(AND(ISNUMBER(B5),N(C6)&gt;0),B5/C6,"")</f>
        <v>0.19685077425715777</v>
      </c>
      <c r="C9" s="8">
        <f>IF(AND(ISNUMBER(C5),N(D6)&gt;0),C5/D6,"")</f>
        <v>0.21507401289833877</v>
      </c>
      <c r="D9" s="8">
        <f>IF(AND(ISNUMBER(D5),N(E6)&gt;0),D5/E6,"")</f>
        <v>0.19733016573335596</v>
      </c>
      <c r="E9" s="8" t="str">
        <f>""</f>
        <v/>
      </c>
    </row>
    <row r="10" spans="1:5" x14ac:dyDescent="0.25">
      <c r="A10" t="s">
        <v>63</v>
      </c>
      <c r="B10" s="8">
        <f>IF(AND(ISNUMBER(B9),N(B5)&gt;0,ISNUMBER(B7)),B7/B5,"")</f>
        <v>0.5612570586791064</v>
      </c>
      <c r="C10" s="8">
        <f>IF(AND(ISNUMBER(C9),N(C5)&gt;0,ISNUMBER(C7)),C7/C5,"")</f>
        <v>0.5554957687227902</v>
      </c>
      <c r="D10" s="8">
        <f>IF(AND(ISNUMBER(D9),N(D5)&gt;0,ISNUMBER(D7)),D7/D5,"")</f>
        <v>0.6430659863555581</v>
      </c>
      <c r="E10" s="8" t="str">
        <f>IF(AND(ISNUMBER(E9),N(E5)&gt;0,ISNUMBER(E7)),E7/E5,"")</f>
        <v/>
      </c>
    </row>
    <row r="13" spans="1:1" x14ac:dyDescent="0.25">
      <c r="A13" s="15" t="s">
        <v>64</v>
      </c>
    </row>
    <row r="14" ht="22" customHeight="1" spans="1:6" x14ac:dyDescent="0.25">
      <c r="A14" s="24" t="s">
        <v>65</v>
      </c>
      <c r="B14" s="24"/>
      <c r="C14" s="24"/>
      <c r="D14" s="24"/>
      <c r="E14" s="24"/>
      <c r="F14" s="24"/>
    </row>
    <row r="16" spans="1:1" x14ac:dyDescent="0.25">
      <c r="A16" s="25" t="s">
        <v>66</v>
      </c>
    </row>
  </sheetData>
  <mergeCells count="1">
    <mergeCell ref="A14:F14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Excess Returns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