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<sst xmlns="http://schemas.openxmlformats.org/spreadsheetml/2006/main" count="113" uniqueCount="101">
  <si>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TC Energy Corporation (TRP.TO)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</si>
  <si>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</si>
  <si>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</si>
  <si>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</si>
  <si>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</si>
  <si>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</si>
  <si>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</si>
  <si>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</si>
  <si>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</si>
  <si>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</si>
  <si>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</si>
  <si>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</si>
  <si>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</si>
  <si>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</si>
  <si>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</si>
  <si>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</si>
  <si>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</si>
  <si>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</si>
  <si>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</si>
  <si>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</si>
  <si>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</si>
  <si>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</si>
  <si>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</si>
  <si>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</si>
  <si>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</si>
  <si>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</si>
  <si>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</si>
  <si>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</si>
  <si>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</si>
  <si>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</si>
  <si>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</si>
  <si>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</si>
  <si>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</si>
  <si>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</si>
  <si>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</si>
  <si>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</si>
  <si>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</si>
  <si>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</si>
  <si>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</si>
  <si>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</si>
  <si>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</si>
  <si>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</si>
  <si>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</si>
  <si>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</si>
  <si>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</si>
  <si>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</si>
  <si>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</si>
  <si>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</si>
  <si>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</si>
  <si>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</si>
  <si>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</si>
  <si>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</si>
  <si>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</si>
  <si>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</si>
  <si>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</si>
  <si>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</si>
  <si>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</si>
  <si>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</si>
  <si>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</si>
  <si>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</si>
  <si>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</si>
  <si>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</si>
  <si>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</si>
  <si>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</si>
  <si>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</si>
  <si>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</si>
  <si>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</si>
  <si>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</si>
  <si>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</si>
  <si>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</si>
  <si>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</si>
  <si>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</si>
  <si>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</si>
  <si>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</si>
  <si>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</si>
  <si>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</si>
  <si>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</si>
  <si>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</si>
  <si>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</si>
  <si>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</si>
  <si>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</si>
  <si>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</si>
  <si>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</si>
  <si>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</si>
  <si>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</si>
  <si>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</si>
  <si>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</si>
  <si>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</si>
  <si>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</si>
  <si>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</si>
  <si>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</si>
  <si>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</si>
  <si>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</si>
  <si>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</si>
  <si>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</si>
  <si>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</si>
  <si>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</si>
  <si>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</si>
  <si>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49.2% of revenue against depreciation of 20.1%.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</si>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</sst>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0.0737699168980781</v>
      </c>
    </row>
    <row r="7" spans="1:2" x14ac:dyDescent="0.25">
      <c r="A7" t="s">
        <v>5</v>
      </c>
      <c r="B7" s="6">
        <v>0.4298786282606438</v>
      </c>
    </row>
    <row r="8" spans="1:2" x14ac:dyDescent="0.25">
      <c r="A8" t="s">
        <v>6</v>
      </c>
      <c r="B8" s="6">
        <v>0.23217185932827722</v>
      </c>
    </row>
    <row r="9" spans="1:2" x14ac:dyDescent="0.25">
      <c r="A9" t="s">
        <v>7</v>
      </c>
      <c r="B9" s="6">
        <v>0.20086967212825435</v>
      </c>
    </row>
    <row r="10" spans="1:2" x14ac:dyDescent="0.25">
      <c r="A10" t="s">
        <v>8</v>
      </c>
      <c r="B10" s="6">
        <v>0.4923273754725787</v>
      </c>
    </row>
    <row r="11" spans="1:2" x14ac:dyDescent="0.25">
      <c r="A11" t="s">
        <v>9</v>
      </c>
      <c r="B11" s="6">
        <v>-0.2160751565762004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15.744662226419054</v>
      </c>
    </row>
    <row r="14" spans="1:3" x14ac:dyDescent="0.25">
      <c r="A14" t="s">
        <v>12</v>
      </c>
      <c r="B14" s="6">
        <v>0.06602890248408169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0.9664999999999999</v>
      </c>
      <c r="C19" s="8" t="s">
        <v>19</v>
      </c>
    </row>
    <row r="20" spans="1:2" x14ac:dyDescent="0.25">
      <c r="A20" t="s">
        <v>20</v>
      </c>
      <c r="B20" s="10">
        <f>B17+B19*B18</f>
        <v>0.0861575</v>
      </c>
    </row>
    <row r="21" spans="1:3" x14ac:dyDescent="0.25">
      <c r="A21" t="s">
        <v>21</v>
      </c>
      <c r="B21" s="6">
        <v>0.04725115140450604</v>
      </c>
      <c r="C21" s="8" t="s">
        <v>22</v>
      </c>
    </row>
    <row r="22" spans="1:2" x14ac:dyDescent="0.25">
      <c r="A22" t="s">
        <v>23</v>
      </c>
      <c r="B22" s="11">
        <v>89602375680</v>
      </c>
    </row>
    <row r="23" spans="1:2" x14ac:dyDescent="0.25">
      <c r="A23" t="s">
        <v>24</v>
      </c>
      <c r="B23" s="11">
        <v>60628000000</v>
      </c>
    </row>
    <row r="24" spans="1:2" x14ac:dyDescent="0.25">
      <c r="A24" t="s">
        <v>25</v>
      </c>
      <c r="B24" s="10">
        <f>B22/(B22+B23)</f>
        <v>0.5964331465885342</v>
      </c>
    </row>
    <row r="25" spans="1:2" x14ac:dyDescent="0.25">
      <c r="A25" t="s">
        <v>26</v>
      </c>
      <c r="B25" s="10">
        <f>1-B24</f>
        <v>0.4035668534114658</v>
      </c>
    </row>
    <row r="26" spans="1:2" x14ac:dyDescent="0.25">
      <c r="A26" t="s">
        <v>27</v>
      </c>
      <c r="B26" s="12">
        <f>B24*B20+B25*B21*(1-B8)</f>
        <v>0.06602890248408169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15239000000</v>
      </c>
      <c r="C29" s="8" t="s">
        <v>30</v>
      </c>
    </row>
    <row r="30" spans="1:2" x14ac:dyDescent="0.25">
      <c r="A30" t="s">
        <v>31</v>
      </c>
      <c r="B30" s="11">
        <v>60460000000</v>
      </c>
    </row>
    <row r="31" spans="1:2" x14ac:dyDescent="0.25">
      <c r="A31" t="s">
        <v>32</v>
      </c>
      <c r="B31" s="13">
        <v>1040000000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0.0737699168980781</v>
      </c>
      <c r="C5" s="10">
        <f>Assumptions!B6</f>
        <v>0.0737699168980781</v>
      </c>
      <c r="D5" s="10">
        <f>Assumptions!B6</f>
        <v>0.0737699168980781</v>
      </c>
      <c r="E5" s="10">
        <f>Assumptions!B6</f>
        <v>0.0737699168980781</v>
      </c>
      <c r="F5" s="10">
        <f>Assumptions!B6</f>
        <v>0.0737699168980781</v>
      </c>
    </row>
    <row r="6" spans="1:6" x14ac:dyDescent="0.25">
      <c r="A6" t="s">
        <v>43</v>
      </c>
      <c r="B6" s="18">
        <f>Assumptions!B29*(1+B5)</f>
        <v>16363179763.609812</v>
      </c>
      <c r="C6" s="18">
        <f>B6*(1+C5)</f>
        <v>17570290174.95962</v>
      </c>
      <c r="D6" s="18">
        <f>C6*(1+D5)</f>
        <v>18866449021.04151</v>
      </c>
      <c r="E6" s="18">
        <f>D6*(1+E5)</f>
        <v>20258225397.48557</v>
      </c>
      <c r="F6" s="18">
        <f>E6*(1+F5)</f>
        <v>21752673001.560616</v>
      </c>
    </row>
    <row r="7" spans="1:6" x14ac:dyDescent="0.25">
      <c r="A7" t="s">
        <v>5</v>
      </c>
      <c r="B7" s="10">
        <f>Assumptions!B7</f>
        <v>0.4298786282606438</v>
      </c>
      <c r="C7" s="10">
        <f>Assumptions!B7</f>
        <v>0.4298786282606438</v>
      </c>
      <c r="D7" s="10">
        <f>Assumptions!B7</f>
        <v>0.4298786282606438</v>
      </c>
      <c r="E7" s="10">
        <f>Assumptions!B7</f>
        <v>0.4298786282606438</v>
      </c>
      <c r="F7" s="10">
        <f>Assumptions!B7</f>
        <v>0.4298786282606438</v>
      </c>
    </row>
    <row r="8" spans="1:6" x14ac:dyDescent="0.25">
      <c r="A8" t="s">
        <v>44</v>
      </c>
      <c r="B8" s="18">
        <f>B6*B7</f>
        <v>7034181270.762912</v>
      </c>
      <c r="C8" s="18">
        <f>C6*C7</f>
        <v>7553092238.55311</v>
      </c>
      <c r="D8" s="18">
        <f>D6*D7</f>
        <v>8110283225.314692</v>
      </c>
      <c r="E8" s="18">
        <f>E6*E7</f>
        <v>8708578144.866032</v>
      </c>
      <c r="F8" s="18">
        <f>F6*F7</f>
        <v>9351009230.91322</v>
      </c>
    </row>
    <row r="9" spans="1:6" x14ac:dyDescent="0.25">
      <c r="A9" t="s">
        <v>45</v>
      </c>
      <c r="B9" s="18">
        <f>B8*(1-Assumptions!B8)</f>
        <v>5401042326.277742</v>
      </c>
      <c r="C9" s="18">
        <f>C8*(1-Assumptions!B8)</f>
        <v>5799476769.850255</v>
      </c>
      <c r="D9" s="18">
        <f>D8*(1-Assumptions!B8)</f>
        <v>6227303689.214442</v>
      </c>
      <c r="E9" s="18">
        <f>E8*(1-Assumptions!B8)</f>
        <v>6686691364.866886</v>
      </c>
      <c r="F9" s="18">
        <f>F8*(1-Assumptions!B8)</f>
        <v>7179968031.176213</v>
      </c>
    </row>
    <row r="10" spans="1:6" x14ac:dyDescent="0.25">
      <c r="A10" t="s">
        <v>46</v>
      </c>
      <c r="B10" s="18">
        <f>B6*Assumptions!B9</f>
        <v>3286866554.0919895</v>
      </c>
      <c r="C10" s="18">
        <f>C6*Assumptions!B9</f>
        <v>3529338426.642428</v>
      </c>
      <c r="D10" s="18">
        <f>D6*Assumptions!B9</f>
        <v>3789697429.0810337</v>
      </c>
      <c r="E10" s="18">
        <f>E6*Assumptions!B9</f>
        <v>4069263093.4932013</v>
      </c>
      <c r="F10" s="18">
        <f>F6*Assumptions!B9</f>
        <v>4369452293.736611</v>
      </c>
    </row>
    <row r="11" spans="1:6" x14ac:dyDescent="0.25">
      <c r="A11" t="s">
        <v>47</v>
      </c>
      <c r="B11" s="18">
        <f>-B6*Assumptions!B10</f>
        <v>-8056041347.40403</v>
      </c>
      <c r="C11" s="18">
        <f>-C6*Assumptions!B10</f>
        <v>-8650334848.129507</v>
      </c>
      <c r="D11" s="18">
        <f>-D6*Assumptions!B10</f>
        <v>-9288469331.01657</v>
      </c>
      <c r="E11" s="18">
        <f>-E6*Assumptions!B10</f>
        <v>-9973678941.676008</v>
      </c>
      <c r="F11" s="18">
        <f>-F6*Assumptions!B10</f>
        <v>-10709436408.37156</v>
      </c>
    </row>
    <row r="12" spans="1:6" x14ac:dyDescent="0.25">
      <c r="A12" t="s">
        <v>48</v>
      </c>
      <c r="B12" s="18">
        <f>-(B6-Assumptions!B29)*Assumptions!B11</f>
        <v>242907318.44178605</v>
      </c>
      <c r="C12" s="18">
        <f>-(C6-B6)*Assumptions!B11</f>
        <v>260826571.1371718</v>
      </c>
      <c r="D12" s="18">
        <f>-(D6-C6)*Assumptions!B11</f>
        <v>280067725.61477166</v>
      </c>
      <c r="E12" s="18">
        <f>-(E6-D6)*Assumptions!B11</f>
        <v>300728298.4592066</v>
      </c>
      <c r="F12" s="18">
        <f>-(F6-E6)*Assumptions!B11</f>
        <v>322913000.04544324</v>
      </c>
    </row>
    <row r="13" spans="1:6" x14ac:dyDescent="0.25">
      <c r="A13" s="19" t="s">
        <v>49</v>
      </c>
      <c r="B13" s="20">
        <f>B9+B10+B11+B12</f>
        <v>874774851.4074881</v>
      </c>
      <c r="C13" s="20">
        <f>C9+C10+C11+C12</f>
        <v>939306919.5003481</v>
      </c>
      <c r="D13" s="20">
        <f>D9+D10+D11+D12</f>
        <v>1008599512.8936775</v>
      </c>
      <c r="E13" s="20">
        <f>E9+E10+E11+E12</f>
        <v>1083003815.1432867</v>
      </c>
      <c r="F13" s="20">
        <f>F9+F10+F11+F12</f>
        <v>1162896916.5867088</v>
      </c>
    </row>
    <row r="14" spans="1:6" x14ac:dyDescent="0.25">
      <c r="A14" t="s">
        <v>50</v>
      </c>
      <c r="B14" s="21">
        <f>1/(1+Assumptions!$B$26)^(1-0.5*Assumptions!$B$32)</f>
        <v>0.9685354254092287</v>
      </c>
      <c r="C14" s="21">
        <f>1/(1+Assumptions!$B$26)^(2-0.5*Assumptions!$B$32)</f>
        <v>0.9085451840492581</v>
      </c>
      <c r="D14" s="21">
        <f>1/(1+Assumptions!$B$26)^(3-0.5*Assumptions!$B$32)</f>
        <v>0.8522706860312588</v>
      </c>
      <c r="E14" s="21">
        <f>1/(1+Assumptions!$B$26)^(4-0.5*Assumptions!$B$32)</f>
        <v>0.7994817814463385</v>
      </c>
      <c r="F14" s="21">
        <f>1/(1+Assumptions!$B$26)^(5-0.5*Assumptions!$B$32)</f>
        <v>0.7499625756706692</v>
      </c>
    </row>
    <row r="15" spans="1:6" x14ac:dyDescent="0.25">
      <c r="A15" s="19" t="s">
        <v>51</v>
      </c>
      <c r="B15" s="20">
        <f>B13*B14</f>
        <v>847250432.8452463</v>
      </c>
      <c r="C15" s="20">
        <f>C13*C14</f>
        <v>853402778.0561854</v>
      </c>
      <c r="D15" s="20">
        <f>D13*D14</f>
        <v>859599798.7846879</v>
      </c>
      <c r="E15" s="20">
        <f>E13*E14</f>
        <v>865841819.443936</v>
      </c>
      <c r="F15" s="20">
        <f>F13*F14</f>
        <v>872129166.8028474</v>
      </c>
    </row>
    <row r="17" spans="1:2" x14ac:dyDescent="0.25">
      <c r="A17" s="22" t="s">
        <v>52</v>
      </c>
      <c r="B17" s="23">
        <f>SUM(B15:F15)</f>
        <v>4298223995.932903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1162896916.5867088</v>
      </c>
    </row>
    <row r="5" spans="1:2" x14ac:dyDescent="0.25">
      <c r="A5" t="s">
        <v>56</v>
      </c>
      <c r="B5" s="18">
        <f>IF(Assumptions!$B$33=0,B4,B4-Forecast!F11-Forecast!F10-Forecast!F12)</f>
        <v>7179968031.176213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0.3786220739626412</v>
      </c>
    </row>
    <row r="7" spans="1:2" x14ac:dyDescent="0.25">
      <c r="A7" t="s">
        <v>58</v>
      </c>
      <c r="B7" s="18">
        <f>-MAX(Forecast!F9,0)*B6</f>
        <v>-2718494386.9493995</v>
      </c>
    </row>
    <row r="8" spans="1:2" x14ac:dyDescent="0.25">
      <c r="A8" t="s">
        <v>59</v>
      </c>
      <c r="B8" s="18">
        <f>IF(OR(Assumptions!$B$33=0,Assumptions!B12&lt;=0),B5,MAX(B5+B7,0))</f>
        <v>4461473644.226814</v>
      </c>
    </row>
    <row r="9" spans="1:2" x14ac:dyDescent="0.25">
      <c r="A9" t="s">
        <v>60</v>
      </c>
      <c r="B9" s="18">
        <f>B8*(1+Assumptions!B12)/(Assumptions!B26-Assumptions!B12)</f>
        <v>111458269864.92538</v>
      </c>
    </row>
    <row r="10" spans="1:2" x14ac:dyDescent="0.25">
      <c r="A10" t="s">
        <v>61</v>
      </c>
      <c r="B10" s="18">
        <f>B9/(1+Assumptions!B26)^(5-0.5*Assumptions!B32)</f>
        <v>83589531147.69597</v>
      </c>
    </row>
    <row r="11" spans="1:2" x14ac:dyDescent="0.25">
      <c r="A11" t="s">
        <v>62</v>
      </c>
      <c r="B11" s="18">
        <f>Forecast!B17+B10</f>
        <v>87887755143.62888</v>
      </c>
    </row>
    <row r="12" spans="1:2" x14ac:dyDescent="0.25">
      <c r="A12" t="s">
        <v>63</v>
      </c>
      <c r="B12" s="18">
        <f>-Assumptions!B30</f>
        <v>-60460000000</v>
      </c>
    </row>
    <row r="13" spans="1:2" x14ac:dyDescent="0.25">
      <c r="A13" t="s">
        <v>64</v>
      </c>
      <c r="B13" s="18">
        <f>B11+B12</f>
        <v>27427755143.628876</v>
      </c>
    </row>
    <row r="14" spans="1:2" x14ac:dyDescent="0.25">
      <c r="A14" s="19" t="s">
        <v>65</v>
      </c>
      <c r="B14" s="24">
        <f>B13/Assumptions!B31</f>
        <v>26.372841484258533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13720461524.64983</v>
      </c>
    </row>
    <row r="18" spans="1:2" x14ac:dyDescent="0.25">
      <c r="A18" t="s">
        <v>60</v>
      </c>
      <c r="B18" s="18">
        <f>B17*Assumptions!B13</f>
        <v>216024032296.19016</v>
      </c>
    </row>
    <row r="19" spans="1:2" x14ac:dyDescent="0.25">
      <c r="A19" t="s">
        <v>61</v>
      </c>
      <c r="B19" s="18">
        <f>B18/(1+Assumptions!B26)^(5-0.5*Assumptions!B32)</f>
        <v>162009939667.6146</v>
      </c>
    </row>
    <row r="20" spans="1:2" x14ac:dyDescent="0.25">
      <c r="A20" t="s">
        <v>62</v>
      </c>
      <c r="B20" s="18">
        <f>Forecast!B17+B19</f>
        <v>166308163663.5475</v>
      </c>
    </row>
    <row r="21" spans="1:2" x14ac:dyDescent="0.25">
      <c r="A21" t="s">
        <v>63</v>
      </c>
      <c r="B21" s="18">
        <f>-Assumptions!B30</f>
        <v>-60460000000</v>
      </c>
    </row>
    <row r="22" spans="1:2" x14ac:dyDescent="0.25">
      <c r="A22" t="s">
        <v>64</v>
      </c>
      <c r="B22" s="18">
        <f>B20+B21</f>
        <v>105848163663.54749</v>
      </c>
    </row>
    <row r="23" spans="1:2" x14ac:dyDescent="0.25">
      <c r="A23" s="19" t="s">
        <v>65</v>
      </c>
      <c r="B23" s="25">
        <f>B22/Assumptions!B31</f>
        <v>101.77708044571874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86.01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26.372841484258533</v>
      </c>
    </row>
    <row r="29" spans="1:2" x14ac:dyDescent="0.25">
      <c r="A29" s="19" t="s">
        <v>73</v>
      </c>
      <c r="B29" s="12">
        <f>B28/B26-1</f>
        <v>-0.693374706612504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0.046029</v>
      </c>
      <c r="B5" s="31">
        <v>76.75132435210251</v>
      </c>
      <c r="C5" s="31">
        <v>81.07868966960693</v>
      </c>
      <c r="D5" s="31">
        <v>87.20275463907075</v>
      </c>
      <c r="E5" s="31">
        <v>96.80487772199449</v>
      </c>
      <c r="F5" s="31">
        <v>114.61539455188058</v>
      </c>
    </row>
    <row r="6" spans="1:6" x14ac:dyDescent="0.25">
      <c r="A6" s="30">
        <v>0.056029</v>
      </c>
      <c r="B6" s="31">
        <v>43.956841385241276</v>
      </c>
      <c r="C6" s="31">
        <v>44.438905721745385</v>
      </c>
      <c r="D6" s="31">
        <v>44.92097005824956</v>
      </c>
      <c r="E6" s="31">
        <v>45.40303439475373</v>
      </c>
      <c r="F6" s="31">
        <v>45.88509873125789</v>
      </c>
    </row>
    <row r="7" spans="1:6" x14ac:dyDescent="0.25">
      <c r="A7" s="30">
        <v>0.066029</v>
      </c>
      <c r="B7" s="31">
        <v>25.58854828347454</v>
      </c>
      <c r="C7" s="31">
        <v>25.980618514658385</v>
      </c>
      <c r="D7" s="32">
        <v>26.372688745842186</v>
      </c>
      <c r="E7" s="31">
        <v>26.76475897702603</v>
      </c>
      <c r="F7" s="31">
        <v>27.156829208209846</v>
      </c>
    </row>
    <row r="8" spans="1:6" x14ac:dyDescent="0.25">
      <c r="A8" s="30">
        <v>0.076029</v>
      </c>
      <c r="B8" s="31">
        <v>12.180537534376292</v>
      </c>
      <c r="C8" s="31">
        <v>12.50702912872294</v>
      </c>
      <c r="D8" s="31">
        <v>12.833520723069572</v>
      </c>
      <c r="E8" s="31">
        <v>13.160012317416205</v>
      </c>
      <c r="F8" s="31">
        <v>13.486503911762854</v>
      </c>
    </row>
    <row r="9" spans="1:6" x14ac:dyDescent="0.25">
      <c r="A9" s="30">
        <v>0.086029</v>
      </c>
      <c r="B9" s="31">
        <v>1.9963968496838569</v>
      </c>
      <c r="C9" s="31">
        <v>2.27317251323262</v>
      </c>
      <c r="D9" s="31">
        <v>2.5499481767813754</v>
      </c>
      <c r="E9" s="31">
        <v>2.826723840330124</v>
      </c>
      <c r="F9" s="31">
        <v>3.103499503878887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15239000000</v>
      </c>
      <c r="C5" s="18">
        <v>13771000000</v>
      </c>
      <c r="D5" s="18">
        <v>13267000000</v>
      </c>
      <c r="E5" s="18">
        <v>12309000000</v>
      </c>
      <c r="F5" s="8" t="s">
        <v>84</v>
      </c>
    </row>
    <row r="6" spans="1:6" x14ac:dyDescent="0.25">
      <c r="A6" t="s">
        <v>44</v>
      </c>
      <c r="B6" s="18">
        <v>6762000000</v>
      </c>
      <c r="C6" s="18">
        <v>5786000000</v>
      </c>
      <c r="D6" s="18">
        <v>5887000000</v>
      </c>
      <c r="E6" s="18">
        <v>5070000000</v>
      </c>
      <c r="F6" s="8" t="s">
        <v>85</v>
      </c>
    </row>
    <row r="7" spans="1:6" x14ac:dyDescent="0.25">
      <c r="A7" t="s">
        <v>86</v>
      </c>
      <c r="B7" s="18">
        <v>2769000000</v>
      </c>
      <c r="C7" s="18">
        <v>2788000000</v>
      </c>
      <c r="D7" s="18">
        <v>2778000000</v>
      </c>
      <c r="E7" s="18">
        <v>2584000000</v>
      </c>
      <c r="F7" s="8" t="s">
        <v>87</v>
      </c>
    </row>
    <row r="8" spans="1:6" x14ac:dyDescent="0.25">
      <c r="A8" t="s">
        <v>88</v>
      </c>
      <c r="B8" s="18">
        <v>5286000000</v>
      </c>
      <c r="C8" s="18">
        <v>6358000000</v>
      </c>
      <c r="D8" s="18">
        <v>8149000000</v>
      </c>
      <c r="E8" s="18">
        <v>6727000000</v>
      </c>
      <c r="F8" s="8" t="s">
        <v>89</v>
      </c>
    </row>
    <row r="9" spans="1:6" x14ac:dyDescent="0.25">
      <c r="A9" t="s">
        <v>90</v>
      </c>
      <c r="B9" s="18">
        <v>503000000</v>
      </c>
      <c r="C9" s="18">
        <v>-199000000</v>
      </c>
      <c r="D9" s="18">
        <v>-207000000</v>
      </c>
      <c r="E9" s="18">
        <v>639000000</v>
      </c>
      <c r="F9" s="8" t="s">
        <v>91</v>
      </c>
    </row>
    <row r="10" spans="1:6" x14ac:dyDescent="0.25">
      <c r="A10" t="s">
        <v>92</v>
      </c>
      <c r="B10" s="18">
        <v>60628000000</v>
      </c>
      <c r="C10" s="18">
        <v>59877000000</v>
      </c>
      <c r="D10" s="18">
        <v>63658000000</v>
      </c>
      <c r="E10" s="18">
        <v>58679000000</v>
      </c>
      <c r="F10" s="8" t="s">
        <v>93</v>
      </c>
    </row>
    <row r="11" spans="1:6" x14ac:dyDescent="0.25">
      <c r="A11" t="s">
        <v>94</v>
      </c>
      <c r="B11" s="18">
        <v>168000000</v>
      </c>
      <c r="C11" s="18">
        <v>801000000</v>
      </c>
      <c r="D11" s="18">
        <v>3678000000</v>
      </c>
      <c r="E11" s="18">
        <v>620000000</v>
      </c>
      <c r="F11" s="8" t="s">
        <v>95</v>
      </c>
    </row>
    <row r="12" spans="1:6" x14ac:dyDescent="0.25">
      <c r="A12" t="s">
        <v>32</v>
      </c>
      <c r="B12" s="34">
        <v>1040000000</v>
      </c>
      <c r="C12" s="34">
        <v>1038000000</v>
      </c>
      <c r="D12" s="34">
        <v>1030000000</v>
      </c>
      <c r="E12" s="34">
        <v>996000000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