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<sst xmlns="http://schemas.openxmlformats.org/spreadsheetml/2006/main" count="120" uniqueCount="107">
  <si>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Tractor Supply Company (TSCO)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</si>
  <si>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</si>
  <si>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</si>
  <si>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</si>
  <si>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</si>
  <si>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</si>
  <si>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</si>
  <si>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</si>
  <si>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</si>
  <si>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</si>
  <si>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</si>
  <si>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</si>
  <si>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</si>
  <si>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</si>
  <si>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</si>
  <si>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</si>
  <si>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</si>
  <si>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</si>
  <si>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</si>
  <si>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</si>
  <si>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</si>
  <si>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</si>
  <si>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</si>
  <si>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</si>
  <si>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21.2x interest cover. Book interest / average debt was lower, at 1.2%.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</si>
  <si>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</si>
  <si>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</si>
  <si>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</si>
  <si>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</si>
  <si>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</si>
  <si>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</si>
  <si>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</si>
  <si>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</si>
  <si>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</si>
  <si>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</si>
  <si>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</si>
  <si>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</si>
  <si>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</si>
  <si>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</si>
  <si>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</si>
  <si>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</si>
  <si>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</si>
  <si>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</si>
  <si>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</si>
  <si>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</si>
  <si>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</si>
  <si>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</si>
  <si>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</si>
  <si>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</si>
  <si>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</si>
  <si>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</si>
  <si>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</si>
  <si>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</si>
  <si>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</si>
  <si>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</si>
  <si>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</si>
  <si>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</si>
  <si>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</si>
  <si>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</si>
  <si>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</si>
  <si>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</si>
  <si>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</si>
  <si>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</si>
  <si>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</si>
  <si>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</si>
  <si>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</si>
  <si>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</si>
  <si>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</si>
  <si>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</si>
  <si>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</si>
  <si>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</si>
  <si>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</si>
  <si>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</si>
  <si>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</si>
  <si>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</si>
  <si>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</si>
  <si>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</si>
  <si>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</si>
  <si>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</si>
  <si>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</si>
  <si>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</si>
  <si>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</si>
  <si>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</si>
  <si>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</si>
  <si>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</si>
  <si>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</si>
  <si>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</si>
  <si>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</si>
  <si>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</si>
  <si>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</si>
  <si>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</si>
  <si>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</si>
  <si>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</si>
  <si>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</si>
  <si>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</si>
  <si>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</si>
  <si>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</si>
  <si>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</si>
  <si>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</si>
  <si>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</si>
  <si>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</si>
  <si>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</si>
  <si>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</si>
  <si>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</si>
  <si>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</si>
  <si>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5.4% of revenue against depreciation of 2.8%.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</si>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</sst>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0.03478007279803208</v>
      </c>
    </row>
    <row r="7" spans="1:2" x14ac:dyDescent="0.25">
      <c r="A7" t="s">
        <v>4</v>
      </c>
      <c r="B7" s="5">
        <v>0.09893719608541367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0.02825532277449678</v>
      </c>
    </row>
    <row r="10" spans="1:3" x14ac:dyDescent="0.25">
      <c r="A10" t="s">
        <v>7</v>
      </c>
      <c r="B10" s="5">
        <v>0.05413873023401418</v>
      </c>
      <c r="C10" s="6" t="s">
        <v>8</v>
      </c>
    </row>
    <row r="11" spans="1:2" x14ac:dyDescent="0.25">
      <c r="A11" t="s">
        <v>9</v>
      </c>
      <c r="B11" s="5">
        <v>0.2773580872698403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11.947021066585092</v>
      </c>
    </row>
    <row r="14" spans="1:3" x14ac:dyDescent="0.25">
      <c r="A14" t="s">
        <v>12</v>
      </c>
      <c r="B14" s="5">
        <v>0.29191113558227166</v>
      </c>
      <c r="C14" s="6" t="s">
        <v>13</v>
      </c>
    </row>
    <row r="15" spans="1:3" x14ac:dyDescent="0.25">
      <c r="A15" t="s">
        <v>14</v>
      </c>
      <c r="B15" s="5">
        <v>0.02825532277449678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0.67438</v>
      </c>
      <c r="C19" s="6" t="s">
        <v>21</v>
      </c>
    </row>
    <row r="20" spans="1:2" x14ac:dyDescent="0.25">
      <c r="A20" t="s">
        <v>22</v>
      </c>
      <c r="B20" s="9">
        <f>B17+B19*B18</f>
        <v>0.077466274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17684101120</v>
      </c>
    </row>
    <row r="23" spans="1:2" x14ac:dyDescent="0.25">
      <c r="A23" t="s">
        <v>26</v>
      </c>
      <c r="B23" s="10">
        <v>5942895000</v>
      </c>
    </row>
    <row r="24" spans="1:2" x14ac:dyDescent="0.25">
      <c r="A24" t="s">
        <v>27</v>
      </c>
      <c r="B24" s="9">
        <f>B22/(B22+B23)</f>
        <v>0.7484701411124624</v>
      </c>
    </row>
    <row r="25" spans="1:2" x14ac:dyDescent="0.25">
      <c r="A25" t="s">
        <v>28</v>
      </c>
      <c r="B25" s="9">
        <f>1-B24</f>
        <v>0.25152985888753765</v>
      </c>
    </row>
    <row r="26" spans="1:2" x14ac:dyDescent="0.25">
      <c r="A26" t="s">
        <v>29</v>
      </c>
      <c r="B26" s="11">
        <f>B24*B20+B25*B21*(1-B8)</f>
        <v>0.0685008257085466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15524046000</v>
      </c>
      <c r="C29" s="6" t="s">
        <v>32</v>
      </c>
    </row>
    <row r="30" spans="1:2" x14ac:dyDescent="0.25">
      <c r="A30" t="s">
        <v>33</v>
      </c>
      <c r="B30" s="10">
        <v>5748786000</v>
      </c>
    </row>
    <row r="31" spans="1:2" x14ac:dyDescent="0.25">
      <c r="A31" t="s">
        <v>34</v>
      </c>
      <c r="B31" s="12">
        <v>532178000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0.03478007279803208</v>
      </c>
      <c r="C5" s="5">
        <v>0.03879795692764909</v>
      </c>
      <c r="D5" s="5">
        <v>0.03707321231169296</v>
      </c>
      <c r="E5" s="5">
        <v>0.03534846769573682</v>
      </c>
      <c r="F5" s="5">
        <v>0.03362372307978068</v>
      </c>
      <c r="G5" s="5">
        <v>0.03189897846382454</v>
      </c>
      <c r="H5" s="5">
        <v>0.03017423384786841</v>
      </c>
      <c r="I5" s="5">
        <v>0.028449489231912276</v>
      </c>
      <c r="J5" s="5">
        <v>0.02672474461595614</v>
      </c>
      <c r="K5" s="5">
        <v>0.025</v>
      </c>
    </row>
    <row r="6" spans="1:11" x14ac:dyDescent="0.25">
      <c r="A6" t="s">
        <v>50</v>
      </c>
      <c r="B6" s="18">
        <f>Assumptions!B29*(1+B5)</f>
        <v>16063973449.999998</v>
      </c>
      <c r="C6" s="18">
        <f>B6*(1+C5)</f>
        <v>16687222799.999996</v>
      </c>
      <c r="D6" s="18">
        <f>C6*(1+D5)</f>
        <v>17305871753.75692</v>
      </c>
      <c r="E6" s="18">
        <f>D6*(1+E5)</f>
        <v>17917607802.39116</v>
      </c>
      <c r="F6" s="18">
        <f>E6*(1+F5)</f>
        <v>18520064485.390877</v>
      </c>
      <c r="G6" s="18">
        <f>F6*(1+G5)</f>
        <v>19110835623.559002</v>
      </c>
      <c r="H6" s="18">
        <f>G6*(1+H5)</f>
        <v>19687490446.692444</v>
      </c>
      <c r="I6" s="18">
        <f>H6*(1+I5)</f>
        <v>20247589494.158997</v>
      </c>
      <c r="J6" s="18">
        <f>I6*(1+J5)</f>
        <v>20788701152.479115</v>
      </c>
      <c r="K6" s="18">
        <f>J6*(1+K5)</f>
        <v>21308418681.291092</v>
      </c>
    </row>
    <row r="7" spans="1:11" x14ac:dyDescent="0.25">
      <c r="A7" t="s">
        <v>4</v>
      </c>
      <c r="B7" s="9">
        <f>Assumptions!B7</f>
        <v>0.09893719608541367</v>
      </c>
      <c r="C7" s="9">
        <f>Assumptions!B7</f>
        <v>0.09893719608541367</v>
      </c>
      <c r="D7" s="9">
        <f>Assumptions!B7</f>
        <v>0.09893719608541367</v>
      </c>
      <c r="E7" s="9">
        <f>Assumptions!B7</f>
        <v>0.09893719608541367</v>
      </c>
      <c r="F7" s="9">
        <f>Assumptions!B7</f>
        <v>0.09893719608541367</v>
      </c>
      <c r="G7" s="9">
        <f>Assumptions!B7</f>
        <v>0.09893719608541367</v>
      </c>
      <c r="H7" s="9">
        <f>Assumptions!B7</f>
        <v>0.09893719608541367</v>
      </c>
      <c r="I7" s="9">
        <f>Assumptions!B7</f>
        <v>0.09893719608541367</v>
      </c>
      <c r="J7" s="9">
        <f>Assumptions!B7</f>
        <v>0.09893719608541367</v>
      </c>
      <c r="K7" s="9">
        <f>Assumptions!B7</f>
        <v>0.09893719608541367</v>
      </c>
    </row>
    <row r="8" spans="1:11" x14ac:dyDescent="0.25">
      <c r="A8" t="s">
        <v>51</v>
      </c>
      <c r="B8" s="18">
        <f>B6*B7</f>
        <v>1589324491.133529</v>
      </c>
      <c r="C8" s="18">
        <f>C6*C7</f>
        <v>1650987034.2845852</v>
      </c>
      <c r="D8" s="18">
        <f>D6*D7</f>
        <v>1712194427.13047</v>
      </c>
      <c r="E8" s="18">
        <f>E6*E7</f>
        <v>1772717876.526712</v>
      </c>
      <c r="F8" s="18">
        <f>F6*F7</f>
        <v>1832323251.5056229</v>
      </c>
      <c r="G8" s="18">
        <f>G6*G7</f>
        <v>1890772491.4441657</v>
      </c>
      <c r="H8" s="18">
        <f>H6*H7</f>
        <v>1947825102.7541187</v>
      </c>
      <c r="I8" s="18">
        <f>I6*I7</f>
        <v>2003239732.0405703</v>
      </c>
      <c r="J8" s="18">
        <f>J6*J7</f>
        <v>2056775802.2838912</v>
      </c>
      <c r="K8" s="18">
        <f>K6*K7</f>
        <v>2108195197.3409884</v>
      </c>
    </row>
    <row r="9" spans="1:11" x14ac:dyDescent="0.25">
      <c r="A9" t="s">
        <v>52</v>
      </c>
      <c r="B9" s="18">
        <f>B8*(1-Assumptions!B8)</f>
        <v>1255566347.995488</v>
      </c>
      <c r="C9" s="18">
        <f>C8*(1-Assumptions!B8)</f>
        <v>1304279757.0848224</v>
      </c>
      <c r="D9" s="18">
        <f>D8*(1-Assumptions!B8)</f>
        <v>1352633597.4330714</v>
      </c>
      <c r="E9" s="18">
        <f>E8*(1-Assumptions!B8)</f>
        <v>1400447122.4561026</v>
      </c>
      <c r="F9" s="18">
        <f>F8*(1-Assumptions!B8)</f>
        <v>1447535368.6894422</v>
      </c>
      <c r="G9" s="18">
        <f>G8*(1-Assumptions!B8)</f>
        <v>1493710268.240891</v>
      </c>
      <c r="H9" s="18">
        <f>H8*(1-Assumptions!B8)</f>
        <v>1538781831.1757538</v>
      </c>
      <c r="I9" s="18">
        <f>I8*(1-Assumptions!B8)</f>
        <v>1582559388.3120506</v>
      </c>
      <c r="J9" s="18">
        <f>J8*(1-Assumptions!B8)</f>
        <v>1624852883.804274</v>
      </c>
      <c r="K9" s="18">
        <f>K8*(1-Assumptions!B8)</f>
        <v>1665474205.899381</v>
      </c>
    </row>
    <row r="10" spans="1:11" x14ac:dyDescent="0.25">
      <c r="A10" t="s">
        <v>53</v>
      </c>
      <c r="B10" s="18">
        <f>B6*Assumptions!B9</f>
        <v>453892754.87069654</v>
      </c>
      <c r="C10" s="18">
        <f>C6*Assumptions!B9</f>
        <v>471502866.4239418</v>
      </c>
      <c r="D10" s="18">
        <f>D6*Assumptions!B9</f>
        <v>488982992.2964484</v>
      </c>
      <c r="E10" s="18">
        <f>E6*Assumptions!B9</f>
        <v>506267791.8034041</v>
      </c>
      <c r="F10" s="18">
        <f>F6*Assumptions!B9</f>
        <v>523290399.8392138</v>
      </c>
      <c r="G10" s="18">
        <f>G6*Assumptions!B9</f>
        <v>539982829.034011</v>
      </c>
      <c r="H10" s="18">
        <f>H6*Assumptions!B9</f>
        <v>556276397.1911168</v>
      </c>
      <c r="I10" s="18">
        <f>I6*Assumptions!B9</f>
        <v>572102176.5629724</v>
      </c>
      <c r="J10" s="18">
        <f>J6*Assumptions!B9</f>
        <v>587391461.1258506</v>
      </c>
      <c r="K10" s="18">
        <f>K6*Assumptions!B9</f>
        <v>602076247.6539968</v>
      </c>
    </row>
    <row r="11" spans="1:11" x14ac:dyDescent="0.25">
      <c r="A11" t="s">
        <v>54</v>
      </c>
      <c r="B11" s="18">
        <f>-B6*B19</f>
        <v>-869683125.0959159</v>
      </c>
      <c r="C11" s="18">
        <f>-C6*C19</f>
        <v>-867845008.4737337</v>
      </c>
      <c r="D11" s="18">
        <f>-D6*D19</f>
        <v>-863119699.1119553</v>
      </c>
      <c r="E11" s="18">
        <f>-E6*E19</f>
        <v>-855426219.244091</v>
      </c>
      <c r="F11" s="18">
        <f>-F6*F19</f>
        <v>-844700853.043143</v>
      </c>
      <c r="G11" s="18">
        <f>-G6*G19</f>
        <v>-830898340.6108133</v>
      </c>
      <c r="H11" s="18">
        <f>-H6*H19</f>
        <v>-813992926.877409</v>
      </c>
      <c r="I11" s="18">
        <f>-I6*I19</f>
        <v>-793979247.2808151</v>
      </c>
      <c r="J11" s="18">
        <f>-J6*J19</f>
        <v>-770873033.6497866</v>
      </c>
      <c r="K11" s="18">
        <f>-K6*K19</f>
        <v>-744711625.5899293</v>
      </c>
    </row>
    <row r="12" spans="1:11" x14ac:dyDescent="0.25">
      <c r="A12" t="s">
        <v>55</v>
      </c>
      <c r="B12" s="18">
        <f>-(B6-Assumptions!B29)*Assumptions!B11</f>
        <v>-149753244.7964818</v>
      </c>
      <c r="C12" s="18">
        <f>-(C6-B6)*Assumptions!B11</f>
        <v>-172863247.60817072</v>
      </c>
      <c r="D12" s="18">
        <f>-(D6-C6)*Assumptions!B11</f>
        <v>-171587290.5055082</v>
      </c>
      <c r="E12" s="18">
        <f>-(E6-D6)*Assumptions!B11</f>
        <v>-169669940.36320257</v>
      </c>
      <c r="F12" s="18">
        <f>-(F6-E6)*Assumptions!B11</f>
        <v>-167096233.2597342</v>
      </c>
      <c r="G12" s="18">
        <f>-(G6-F6)*Assumptions!B11</f>
        <v>-163855152.89653772</v>
      </c>
      <c r="H12" s="18">
        <f>-(H6-G6)*Assumptions!B11</f>
        <v>-159939878.7592195</v>
      </c>
      <c r="I12" s="18">
        <f>-(I6-H6)*Assumptions!B11</f>
        <v>-155348000.48698255</v>
      </c>
      <c r="J12" s="18">
        <f>-(J6-I6)*Assumptions!B11</f>
        <v>-150081694.55107927</v>
      </c>
      <c r="K12" s="18">
        <f>-(K6-J6)*Assumptions!B11</f>
        <v>-144147859.71189815</v>
      </c>
    </row>
    <row r="13" spans="1:11" x14ac:dyDescent="0.25">
      <c r="A13" s="19" t="s">
        <v>56</v>
      </c>
      <c r="B13" s="20">
        <f>B9+B10+B11+B12</f>
        <v>690022732.9737868</v>
      </c>
      <c r="C13" s="20">
        <f>C9+C10+C11+C12</f>
        <v>735074367.4268599</v>
      </c>
      <c r="D13" s="20">
        <f>D9+D10+D11+D12</f>
        <v>806909600.1120564</v>
      </c>
      <c r="E13" s="20">
        <f>E9+E10+E11+E12</f>
        <v>881618754.6522131</v>
      </c>
      <c r="F13" s="20">
        <f>F9+F10+F11+F12</f>
        <v>959028682.2257788</v>
      </c>
      <c r="G13" s="20">
        <f>G9+G10+G11+G12</f>
        <v>1038939603.767551</v>
      </c>
      <c r="H13" s="20">
        <f>H9+H10+H11+H12</f>
        <v>1121125422.7302423</v>
      </c>
      <c r="I13" s="20">
        <f>I9+I10+I11+I12</f>
        <v>1205334317.1072252</v>
      </c>
      <c r="J13" s="20">
        <f>J9+J10+J11+J12</f>
        <v>1291289616.729259</v>
      </c>
      <c r="K13" s="20">
        <f>K9+K10+K11+K12</f>
        <v>1378690968.2515502</v>
      </c>
    </row>
    <row r="14" spans="1:11" x14ac:dyDescent="0.25">
      <c r="A14" t="s">
        <v>57</v>
      </c>
      <c r="B14" s="21">
        <f>1/(1+Assumptions!$B$26)^(1-0.5*Assumptions!$B$32)</f>
        <v>0.9674144475672042</v>
      </c>
      <c r="C14" s="21">
        <f>1/(1+Assumptions!$B$26)^(2-0.5*Assumptions!$B$32)</f>
        <v>0.9053941974501425</v>
      </c>
      <c r="D14" s="21">
        <f>1/(1+Assumptions!$B$26)^(3-0.5*Assumptions!$B$32)</f>
        <v>0.847350021325211</v>
      </c>
      <c r="E14" s="21">
        <f>1/(1+Assumptions!$B$26)^(4-0.5*Assumptions!$B$32)</f>
        <v>0.7930270159251532</v>
      </c>
      <c r="F14" s="21">
        <f>1/(1+Assumptions!$B$26)^(5-0.5*Assumptions!$B$32)</f>
        <v>0.7421866196493384</v>
      </c>
      <c r="G14" s="21">
        <f>1/(1+Assumptions!$B$26)^(6-0.5*Assumptions!$B$32)</f>
        <v>0.6946055649111716</v>
      </c>
      <c r="H14" s="21">
        <f>1/(1+Assumptions!$B$26)^(7-0.5*Assumptions!$B$32)</f>
        <v>0.6500748976497639</v>
      </c>
      <c r="I14" s="21">
        <f>1/(1+Assumptions!$B$26)^(8-0.5*Assumptions!$B$32)</f>
        <v>0.6083990597000098</v>
      </c>
      <c r="J14" s="21">
        <f>1/(1+Assumptions!$B$26)^(9-0.5*Assumptions!$B$32)</f>
        <v>0.5693950299912655</v>
      </c>
      <c r="K14" s="21">
        <f>1/(1+Assumptions!$B$26)^(10-0.5*Assumptions!$B$32)</f>
        <v>0.5328915208031655</v>
      </c>
    </row>
    <row r="15" spans="1:11" x14ac:dyDescent="0.25">
      <c r="A15" s="19" t="s">
        <v>58</v>
      </c>
      <c r="B15" s="20">
        <f>B13*B14</f>
        <v>667537961.0286484</v>
      </c>
      <c r="C15" s="20">
        <f>C13*C14</f>
        <v>665532066.962613</v>
      </c>
      <c r="D15" s="20">
        <f>D13*D14</f>
        <v>683734866.8624685</v>
      </c>
      <c r="E15" s="20">
        <f>E13*E14</f>
        <v>699147490.1854943</v>
      </c>
      <c r="F15" s="20">
        <f>F13*F14</f>
        <v>711778255.8079103</v>
      </c>
      <c r="G15" s="20">
        <f>G13*G14</f>
        <v>721653230.3835486</v>
      </c>
      <c r="H15" s="20">
        <f>H13*H14</f>
        <v>728815494.4339105</v>
      </c>
      <c r="I15" s="20">
        <f>I13*I14</f>
        <v>733324265.1521893</v>
      </c>
      <c r="J15" s="20">
        <f>J13*J14</f>
        <v>735253890.0449661</v>
      </c>
      <c r="K15" s="20">
        <f>K13*K14</f>
        <v>734692726.7891573</v>
      </c>
    </row>
    <row r="17" spans="1:2" x14ac:dyDescent="0.25">
      <c r="A17" s="22" t="s">
        <v>59</v>
      </c>
      <c r="B17" s="23">
        <f>SUM(B15:K15)</f>
        <v>7081470247.650906</v>
      </c>
    </row>
    <row r="19" spans="1:11" x14ac:dyDescent="0.25">
      <c r="A19" t="s">
        <v>7</v>
      </c>
      <c r="B19" s="9">
        <f>Assumptions!$B$10+($B$20-Assumptions!$B$10)*0/9</f>
        <v>0.05413873023401418</v>
      </c>
      <c r="C19" s="9">
        <f>Assumptions!$B$10+($B$20-Assumptions!$B$10)*1/9</f>
        <v>0.0520065572848787</v>
      </c>
      <c r="D19" s="9">
        <f>Assumptions!$B$10+($B$20-Assumptions!$B$10)*2/9</f>
        <v>0.049874384335743226</v>
      </c>
      <c r="E19" s="9">
        <f>Assumptions!$B$10+($B$20-Assumptions!$B$10)*3/9</f>
        <v>0.047742211386607745</v>
      </c>
      <c r="F19" s="9">
        <f>Assumptions!$B$10+($B$20-Assumptions!$B$10)*4/9</f>
        <v>0.04561003843747227</v>
      </c>
      <c r="G19" s="9">
        <f>Assumptions!$B$10+($B$20-Assumptions!$B$10)*5/9</f>
        <v>0.04347786548833679</v>
      </c>
      <c r="H19" s="9">
        <f>Assumptions!$B$10+($B$20-Assumptions!$B$10)*6/9</f>
        <v>0.04134569253920132</v>
      </c>
      <c r="I19" s="9">
        <f>Assumptions!$B$10+($B$20-Assumptions!$B$10)*7/9</f>
        <v>0.03921351959006584</v>
      </c>
      <c r="J19" s="9">
        <f>Assumptions!$B$10+($B$20-Assumptions!$B$10)*8/9</f>
        <v>0.037081346640930365</v>
      </c>
      <c r="K19" s="9">
        <f>Assumptions!$B$10+($B$20-Assumptions!$B$10)*9/9</f>
        <v>0.034949173691794885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0.034949173691794885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1378690968.2515502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1665474205.899381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0.08564250195571607</v>
      </c>
    </row>
    <row r="7" spans="1:2" x14ac:dyDescent="0.25">
      <c r="A7" t="s">
        <v>66</v>
      </c>
      <c r="B7" s="18">
        <f>-MAX(B5,0)*B6</f>
        <v>-142635377.9359324</v>
      </c>
    </row>
    <row r="8" spans="1:2" x14ac:dyDescent="0.25">
      <c r="A8" t="s">
        <v>67</v>
      </c>
      <c r="B8" s="18">
        <f>IF(OR(Assumptions!$B$33=0,Assumptions!B12&lt;=0),B5,MAX(B5+B7,0))</f>
        <v>1522838827.9634485</v>
      </c>
    </row>
    <row r="9" spans="1:2" x14ac:dyDescent="0.25">
      <c r="A9" t="s">
        <v>68</v>
      </c>
      <c r="B9" s="18">
        <f>B8*(1+Assumptions!B12)/(Assumptions!B26-Assumptions!B12)</f>
        <v>35882302766.40159</v>
      </c>
    </row>
    <row r="10" spans="1:2" x14ac:dyDescent="0.25">
      <c r="A10" t="s">
        <v>69</v>
      </c>
      <c r="B10" s="18">
        <f>B9/(1+Assumptions!B26)^(10-0.5*Assumptions!B32)</f>
        <v>19121374891.107376</v>
      </c>
    </row>
    <row r="11" spans="1:2" x14ac:dyDescent="0.25">
      <c r="A11" t="s">
        <v>70</v>
      </c>
      <c r="B11" s="18">
        <f>Forecast!B17+B10</f>
        <v>26202845138.75828</v>
      </c>
    </row>
    <row r="12" spans="1:2" x14ac:dyDescent="0.25">
      <c r="A12" t="s">
        <v>71</v>
      </c>
      <c r="B12" s="18">
        <f>-Assumptions!B30</f>
        <v>-5748786000</v>
      </c>
    </row>
    <row r="13" spans="1:2" x14ac:dyDescent="0.25">
      <c r="A13" t="s">
        <v>72</v>
      </c>
      <c r="B13" s="18">
        <f>B11+B12</f>
        <v>20454059138.75828</v>
      </c>
    </row>
    <row r="14" spans="1:2" x14ac:dyDescent="0.25">
      <c r="A14" s="19" t="s">
        <v>73</v>
      </c>
      <c r="B14" s="24">
        <f>B13/Assumptions!B31</f>
        <v>38.43461988048789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2710271444.994985</v>
      </c>
    </row>
    <row r="18" spans="1:2" x14ac:dyDescent="0.25">
      <c r="A18" t="s">
        <v>68</v>
      </c>
      <c r="B18" s="18">
        <f>B17*Assumptions!B13</f>
        <v>32379670049.519108</v>
      </c>
    </row>
    <row r="19" spans="1:2" x14ac:dyDescent="0.25">
      <c r="A19" t="s">
        <v>69</v>
      </c>
      <c r="B19" s="18">
        <f>B18/(1+Assumptions!B26)^(10-0.5*Assumptions!B32)</f>
        <v>17254851615.792946</v>
      </c>
    </row>
    <row r="20" spans="1:2" x14ac:dyDescent="0.25">
      <c r="A20" t="s">
        <v>70</v>
      </c>
      <c r="B20" s="18">
        <f>Forecast!B17+B19</f>
        <v>24336321863.44385</v>
      </c>
    </row>
    <row r="21" spans="1:2" x14ac:dyDescent="0.25">
      <c r="A21" t="s">
        <v>71</v>
      </c>
      <c r="B21" s="18">
        <f>-Assumptions!B30</f>
        <v>-5748786000</v>
      </c>
    </row>
    <row r="22" spans="1:2" x14ac:dyDescent="0.25">
      <c r="A22" t="s">
        <v>72</v>
      </c>
      <c r="B22" s="18">
        <f>B20+B21</f>
        <v>18587535863.44385</v>
      </c>
    </row>
    <row r="23" spans="1:2" x14ac:dyDescent="0.25">
      <c r="A23" s="19" t="s">
        <v>73</v>
      </c>
      <c r="B23" s="25">
        <f>B22/Assumptions!B31</f>
        <v>34.92729098806011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38.43461988048789</v>
      </c>
    </row>
    <row r="29" spans="1:2" x14ac:dyDescent="0.25">
      <c r="A29" s="19" t="s">
        <v>81</v>
      </c>
      <c r="B29" s="11">
        <f>B28/B26-1</f>
        <v>0.13242839954295493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0.048501</v>
      </c>
      <c r="B5" s="31">
        <v>61.58820209043437</v>
      </c>
      <c r="C5" s="31">
        <v>70.57872325589976</v>
      </c>
      <c r="D5" s="31">
        <v>83.4570054856823</v>
      </c>
      <c r="E5" s="31">
        <v>103.37511709850834</v>
      </c>
      <c r="F5" s="31">
        <v>138.15451137529442</v>
      </c>
    </row>
    <row r="6" spans="1:6" x14ac:dyDescent="0.25">
      <c r="A6" s="30">
        <v>0.058501</v>
      </c>
      <c r="B6" s="31">
        <v>43.8632062504443</v>
      </c>
      <c r="C6" s="31">
        <v>48.33287653807987</v>
      </c>
      <c r="D6" s="31">
        <v>54.17790308403574</v>
      </c>
      <c r="E6" s="31">
        <v>62.12213220510091</v>
      </c>
      <c r="F6" s="31">
        <v>73.5054234232805</v>
      </c>
    </row>
    <row r="7" spans="1:6" x14ac:dyDescent="0.25">
      <c r="A7" s="30">
        <v>0.068501</v>
      </c>
      <c r="B7" s="31">
        <v>32.83516128286088</v>
      </c>
      <c r="C7" s="31">
        <v>35.332738280429</v>
      </c>
      <c r="D7" s="32">
        <v>38.434409169978714</v>
      </c>
      <c r="E7" s="31">
        <v>42.37552909500566</v>
      </c>
      <c r="F7" s="31">
        <v>47.53195953821658</v>
      </c>
    </row>
    <row r="8" spans="1:6" x14ac:dyDescent="0.25">
      <c r="A8" s="30">
        <v>0.078501</v>
      </c>
      <c r="B8" s="31">
        <v>25.335015849184792</v>
      </c>
      <c r="C8" s="31">
        <v>26.831745726095576</v>
      </c>
      <c r="D8" s="31">
        <v>28.631261003292387</v>
      </c>
      <c r="E8" s="31">
        <v>30.827204719151577</v>
      </c>
      <c r="F8" s="31">
        <v>33.55627319283675</v>
      </c>
    </row>
    <row r="9" spans="1:6" x14ac:dyDescent="0.25">
      <c r="A9" s="30">
        <v>0.088501</v>
      </c>
      <c r="B9" s="31">
        <v>19.918788855477082</v>
      </c>
      <c r="C9" s="31">
        <v>20.855454737739194</v>
      </c>
      <c r="D9" s="31">
        <v>21.9579865263435</v>
      </c>
      <c r="E9" s="31">
        <v>23.268913213873613</v>
      </c>
      <c r="F9" s="31">
        <v>24.84666218456324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15524046000</v>
      </c>
      <c r="C5" s="18">
        <v>14883231000</v>
      </c>
      <c r="D5" s="18">
        <v>14555741000</v>
      </c>
      <c r="E5" s="18">
        <v>14204717000</v>
      </c>
      <c r="F5" s="6" t="s">
        <v>91</v>
      </c>
    </row>
    <row r="6" spans="1:6" x14ac:dyDescent="0.25">
      <c r="A6" t="s">
        <v>51</v>
      </c>
      <c r="B6" s="18">
        <v>1467389000</v>
      </c>
      <c r="C6" s="18">
        <v>1467532000</v>
      </c>
      <c r="D6" s="18">
        <v>1478912000</v>
      </c>
      <c r="E6" s="18">
        <v>1434943000</v>
      </c>
      <c r="F6" s="6" t="s">
        <v>92</v>
      </c>
    </row>
    <row r="7" spans="1:6" x14ac:dyDescent="0.25">
      <c r="A7" t="s">
        <v>93</v>
      </c>
      <c r="B7" s="18">
        <v>494011000</v>
      </c>
      <c r="C7" s="18">
        <v>447162000</v>
      </c>
      <c r="D7" s="18">
        <v>393049000</v>
      </c>
      <c r="E7" s="18">
        <v>343062000</v>
      </c>
      <c r="F7" s="6" t="s">
        <v>94</v>
      </c>
    </row>
    <row r="8" spans="1:6" x14ac:dyDescent="0.25">
      <c r="A8" t="s">
        <v>95</v>
      </c>
      <c r="B8" s="18">
        <v>894770000</v>
      </c>
      <c r="C8" s="18">
        <v>784047000</v>
      </c>
      <c r="D8" s="18">
        <v>753883000</v>
      </c>
      <c r="E8" s="18">
        <v>773369000</v>
      </c>
      <c r="F8" s="6" t="s">
        <v>96</v>
      </c>
    </row>
    <row r="9" spans="1:6" x14ac:dyDescent="0.25">
      <c r="A9" t="s">
        <v>97</v>
      </c>
      <c r="B9" s="18">
        <v>-19889000</v>
      </c>
      <c r="C9" s="18">
        <v>90832000</v>
      </c>
      <c r="D9" s="18">
        <v>181416000</v>
      </c>
      <c r="E9" s="18">
        <v>182478000</v>
      </c>
      <c r="F9" s="6" t="s">
        <v>98</v>
      </c>
    </row>
    <row r="10" spans="1:6" x14ac:dyDescent="0.25">
      <c r="A10" t="s">
        <v>99</v>
      </c>
      <c r="B10" s="18">
        <v>5942895000</v>
      </c>
      <c r="C10" s="18">
        <v>5424448000</v>
      </c>
      <c r="D10" s="18">
        <v>5036018000</v>
      </c>
      <c r="E10" s="18">
        <v>4270204000</v>
      </c>
      <c r="F10" s="6" t="s">
        <v>100</v>
      </c>
    </row>
    <row r="11" spans="1:6" x14ac:dyDescent="0.25">
      <c r="A11" t="s">
        <v>101</v>
      </c>
      <c r="B11" s="18">
        <v>194109000</v>
      </c>
      <c r="C11" s="18">
        <v>251491000</v>
      </c>
      <c r="D11" s="18">
        <v>397071000</v>
      </c>
      <c r="E11" s="18">
        <v>202502000</v>
      </c>
      <c r="F11" s="6" t="s">
        <v>102</v>
      </c>
    </row>
    <row r="12" spans="1:6" x14ac:dyDescent="0.25">
      <c r="A12" t="s">
        <v>34</v>
      </c>
      <c r="B12" s="34">
        <v>532178000</v>
      </c>
      <c r="C12" s="34">
        <v>539652000</v>
      </c>
      <c r="D12" s="34">
        <v>548730000</v>
      </c>
      <c r="E12" s="34">
        <v>560745000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