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<sst xmlns="http://schemas.openxmlformats.org/spreadsheetml/2006/main" count="112" uniqueCount="100">
  <si>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Tractor Supply Company (TSCO)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</si>
  <si>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</si>
  <si>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</si>
  <si>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</si>
  <si>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</si>
  <si>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</si>
  <si>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</si>
  <si>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</si>
  <si>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</si>
  <si>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</si>
  <si>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</si>
  <si>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</si>
  <si>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</si>
  <si>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</si>
  <si>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</si>
  <si>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</si>
  <si>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</si>
  <si>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</si>
  <si>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</si>
  <si>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</si>
  <si>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</si>
  <si>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</si>
  <si>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</si>
  <si>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</si>
  <si>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</si>
  <si>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</si>
  <si>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</si>
  <si>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</si>
  <si>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</si>
  <si>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</si>
  <si>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</si>
  <si>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</si>
  <si>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</si>
  <si>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</si>
  <si>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</si>
  <si>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</si>
  <si>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</si>
  <si>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</si>
  <si>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</si>
  <si>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</si>
  <si>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</si>
  <si>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</si>
  <si>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</si>
  <si>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</si>
  <si>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</si>
  <si>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</si>
  <si>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</si>
  <si>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</si>
  <si>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</si>
  <si>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</si>
  <si>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</si>
  <si>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</si>
  <si>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</si>
  <si>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</si>
  <si>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</si>
  <si>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</si>
  <si>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</si>
  <si>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</si>
  <si>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</si>
  <si>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</si>
  <si>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</si>
  <si>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</si>
  <si>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</si>
  <si>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</si>
  <si>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</si>
  <si>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</si>
  <si>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</si>
  <si>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</si>
  <si>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</si>
  <si>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</si>
  <si>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</si>
  <si>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</si>
  <si>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</si>
  <si>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</si>
  <si>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</si>
  <si>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</si>
  <si>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</si>
  <si>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</si>
  <si>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</si>
  <si>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</si>
  <si>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</si>
  <si>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</si>
  <si>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</si>
  <si>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</si>
  <si>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</si>
  <si>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</si>
  <si>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</si>
  <si>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</si>
  <si>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</si>
  <si>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</si>
  <si>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</si>
  <si>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</si>
  <si>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</si>
  <si>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</si>
  <si>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</si>
  <si>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</si>
  <si>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</si>
  <si>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</si>
  <si>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5.4% of revenue against depreciation of 2.8%.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</si>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</sst>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0.030047957019021077</v>
      </c>
    </row>
    <row r="7" spans="1:2" x14ac:dyDescent="0.25">
      <c r="A7" t="s">
        <v>5</v>
      </c>
      <c r="B7" s="6">
        <v>0.09893719608541367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0.02825532277449678</v>
      </c>
    </row>
    <row r="10" spans="1:2" x14ac:dyDescent="0.25">
      <c r="A10" t="s">
        <v>8</v>
      </c>
      <c r="B10" s="6">
        <v>0.05413873023401418</v>
      </c>
    </row>
    <row r="11" spans="1:2" x14ac:dyDescent="0.25">
      <c r="A11" t="s">
        <v>9</v>
      </c>
      <c r="B11" s="6">
        <v>0.2773580872698403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11.48745159987764</v>
      </c>
    </row>
    <row r="14" spans="1:3" x14ac:dyDescent="0.25">
      <c r="A14" t="s">
        <v>12</v>
      </c>
      <c r="B14" s="6">
        <v>0.29191113558227166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0.64423</v>
      </c>
      <c r="C19" s="8" t="s">
        <v>19</v>
      </c>
    </row>
    <row r="20" spans="1:2" x14ac:dyDescent="0.25">
      <c r="A20" t="s">
        <v>20</v>
      </c>
      <c r="B20" s="10">
        <f>B17+B19*B18</f>
        <v>0.08541265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16782701568</v>
      </c>
    </row>
    <row r="23" spans="1:2" x14ac:dyDescent="0.25">
      <c r="A23" t="s">
        <v>24</v>
      </c>
      <c r="B23" s="11">
        <v>5942895000</v>
      </c>
    </row>
    <row r="24" spans="1:2" x14ac:dyDescent="0.25">
      <c r="A24" t="s">
        <v>25</v>
      </c>
      <c r="B24" s="10">
        <f>B22/(B22+B23)</f>
        <v>0.7384933336197558</v>
      </c>
    </row>
    <row r="25" spans="1:2" x14ac:dyDescent="0.25">
      <c r="A25" t="s">
        <v>26</v>
      </c>
      <c r="B25" s="10">
        <f>1-B24</f>
        <v>0.2615066663802442</v>
      </c>
    </row>
    <row r="26" spans="1:2" x14ac:dyDescent="0.25">
      <c r="A26" t="s">
        <v>27</v>
      </c>
      <c r="B26" s="12">
        <f>B24*B20+B25*B21*(1-B8)</f>
        <v>0.07340205414848827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15524046000</v>
      </c>
      <c r="C29" s="8" t="s">
        <v>30</v>
      </c>
    </row>
    <row r="30" spans="1:2" x14ac:dyDescent="0.25">
      <c r="A30" t="s">
        <v>31</v>
      </c>
      <c r="B30" s="11">
        <v>5748786000</v>
      </c>
    </row>
    <row r="31" spans="1:2" x14ac:dyDescent="0.25">
      <c r="A31" t="s">
        <v>32</v>
      </c>
      <c r="B31" s="13">
        <v>532178000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0.030047957019021077</v>
      </c>
      <c r="C5" s="10">
        <f>Assumptions!B6</f>
        <v>0.030047957019021077</v>
      </c>
      <c r="D5" s="10">
        <f>Assumptions!B6</f>
        <v>0.030047957019021077</v>
      </c>
      <c r="E5" s="10">
        <f>Assumptions!B6</f>
        <v>0.030047957019021077</v>
      </c>
      <c r="F5" s="10">
        <f>Assumptions!B6</f>
        <v>0.030047957019021077</v>
      </c>
    </row>
    <row r="6" spans="1:6" x14ac:dyDescent="0.25">
      <c r="A6" t="s">
        <v>43</v>
      </c>
      <c r="B6" s="18">
        <f>Assumptions!B29*(1+B5)</f>
        <v>15990511866.969307</v>
      </c>
      <c r="C6" s="18">
        <f>B6*(1+C5)</f>
        <v>16470994080.260147</v>
      </c>
      <c r="D6" s="18">
        <f>C6*(1+D5)</f>
        <v>16965913802.444355</v>
      </c>
      <c r="E6" s="18">
        <f>D6*(1+E5)</f>
        <v>17475704851.16862</v>
      </c>
      <c r="F6" s="18">
        <f>E6*(1+F5)</f>
        <v>18000814079.413635</v>
      </c>
    </row>
    <row r="7" spans="1:6" x14ac:dyDescent="0.25">
      <c r="A7" t="s">
        <v>5</v>
      </c>
      <c r="B7" s="10">
        <f>Assumptions!B7</f>
        <v>0.09893719608541367</v>
      </c>
      <c r="C7" s="10">
        <f>Assumptions!B7</f>
        <v>0.09893719608541367</v>
      </c>
      <c r="D7" s="10">
        <f>Assumptions!B7</f>
        <v>0.09893719608541367</v>
      </c>
      <c r="E7" s="10">
        <f>Assumptions!B7</f>
        <v>0.09893719608541367</v>
      </c>
      <c r="F7" s="10">
        <f>Assumptions!B7</f>
        <v>0.09893719608541367</v>
      </c>
    </row>
    <row r="8" spans="1:6" x14ac:dyDescent="0.25">
      <c r="A8" t="s">
        <v>44</v>
      </c>
      <c r="B8" s="18">
        <f>B6*B7</f>
        <v>1582056408.0884764</v>
      </c>
      <c r="C8" s="18">
        <f>C6*C7</f>
        <v>1629593971.040386</v>
      </c>
      <c r="D8" s="18">
        <f>D6*D7</f>
        <v>1678559940.6406634</v>
      </c>
      <c r="E8" s="18">
        <f>E6*E7</f>
        <v>1728997237.5908847</v>
      </c>
      <c r="F8" s="18">
        <f>F6*F7</f>
        <v>1780950072.272022</v>
      </c>
    </row>
    <row r="9" spans="1:6" x14ac:dyDescent="0.25">
      <c r="A9" t="s">
        <v>45</v>
      </c>
      <c r="B9" s="18">
        <f>B8*(1-Assumptions!B8)</f>
        <v>1249824562.3898964</v>
      </c>
      <c r="C9" s="18">
        <f>C8*(1-Assumptions!B8)</f>
        <v>1287379237.1219049</v>
      </c>
      <c r="D9" s="18">
        <f>D8*(1-Assumptions!B8)</f>
        <v>1326062353.1061242</v>
      </c>
      <c r="E9" s="18">
        <f>E8*(1-Assumptions!B8)</f>
        <v>1365907817.696799</v>
      </c>
      <c r="F9" s="18">
        <f>F8*(1-Assumptions!B8)</f>
        <v>1406950557.0948975</v>
      </c>
    </row>
    <row r="10" spans="1:6" x14ac:dyDescent="0.25">
      <c r="A10" t="s">
        <v>46</v>
      </c>
      <c r="B10" s="18">
        <f>B6*Assumptions!B9</f>
        <v>451817074.13063884</v>
      </c>
      <c r="C10" s="18">
        <f>C6*Assumptions!B9</f>
        <v>465393254.1545762</v>
      </c>
      <c r="D10" s="18">
        <f>D6*Assumptions!B9</f>
        <v>479377370.6523552</v>
      </c>
      <c r="E10" s="18">
        <f>E6*Assumptions!B9</f>
        <v>493781681.2816086</v>
      </c>
      <c r="F10" s="18">
        <f>F6*Assumptions!B9</f>
        <v>508618812.01753837</v>
      </c>
    </row>
    <row r="11" spans="1:6" x14ac:dyDescent="0.25">
      <c r="A11" t="s">
        <v>47</v>
      </c>
      <c r="B11" s="18">
        <f>-B6*Assumptions!B10</f>
        <v>-865706008.2696537</v>
      </c>
      <c r="C11" s="18">
        <f>-C6*Assumptions!B10</f>
        <v>-891718705.1972486</v>
      </c>
      <c r="D11" s="18">
        <f>-D6*Assumptions!B10</f>
        <v>-918513030.5240726</v>
      </c>
      <c r="E11" s="18">
        <f>-E6*Assumptions!B10</f>
        <v>-946112470.5866709</v>
      </c>
      <c r="F11" s="18">
        <f>-F6*Assumptions!B10</f>
        <v>-974541217.438019</v>
      </c>
    </row>
    <row r="12" spans="1:6" x14ac:dyDescent="0.25">
      <c r="A12" t="s">
        <v>48</v>
      </c>
      <c r="B12" s="18">
        <f>-(B6-Assumptions!B29)*Assumptions!B11</f>
        <v>-129378080.63927475</v>
      </c>
      <c r="C12" s="18">
        <f>-(C6-B6)*Assumptions!B11</f>
        <v>-133265627.64552686</v>
      </c>
      <c r="D12" s="18">
        <f>-(D6-C6)*Assumptions!B11</f>
        <v>-137269987.49713266</v>
      </c>
      <c r="E12" s="18">
        <f>-(E6-D6)*Assumptions!B11</f>
        <v>-141394670.1814484</v>
      </c>
      <c r="F12" s="18">
        <f>-(F6-E6)*Assumptions!B11</f>
        <v>-145643291.15377912</v>
      </c>
    </row>
    <row r="13" spans="1:6" x14ac:dyDescent="0.25">
      <c r="A13" s="19" t="s">
        <v>49</v>
      </c>
      <c r="B13" s="20">
        <f>B9+B10+B11+B12</f>
        <v>706557547.6116068</v>
      </c>
      <c r="C13" s="20">
        <f>C9+C10+C11+C12</f>
        <v>727788158.4337057</v>
      </c>
      <c r="D13" s="20">
        <f>D9+D10+D11+D12</f>
        <v>749656705.737274</v>
      </c>
      <c r="E13" s="20">
        <f>E9+E10+E11+E12</f>
        <v>772182358.2102883</v>
      </c>
      <c r="F13" s="20">
        <f>F9+F10+F11+F12</f>
        <v>795384860.5206376</v>
      </c>
    </row>
    <row r="14" spans="1:6" x14ac:dyDescent="0.25">
      <c r="A14" t="s">
        <v>50</v>
      </c>
      <c r="B14" s="21">
        <f>1/(1+Assumptions!$B$26)^(1-0.5*Assumptions!$B$32)</f>
        <v>0.9652032797646715</v>
      </c>
      <c r="C14" s="21">
        <f>1/(1+Assumptions!$B$26)^(2-0.5*Assumptions!$B$32)</f>
        <v>0.8992001422340774</v>
      </c>
      <c r="D14" s="21">
        <f>1/(1+Assumptions!$B$26)^(3-0.5*Assumptions!$B$32)</f>
        <v>0.8377104727523533</v>
      </c>
      <c r="E14" s="21">
        <f>1/(1+Assumptions!$B$26)^(4-0.5*Assumptions!$B$32)</f>
        <v>0.780425628509622</v>
      </c>
      <c r="F14" s="21">
        <f>1/(1+Assumptions!$B$26)^(5-0.5*Assumptions!$B$32)</f>
        <v>0.7270580725026845</v>
      </c>
    </row>
    <row r="15" spans="1:6" x14ac:dyDescent="0.25">
      <c r="A15" s="19" t="s">
        <v>51</v>
      </c>
      <c r="B15" s="20">
        <f>B13*B14</f>
        <v>681971662.2972059</v>
      </c>
      <c r="C15" s="20">
        <f>C13*C14</f>
        <v>654427215.5798655</v>
      </c>
      <c r="D15" s="20">
        <f>D13*D14</f>
        <v>627995273.3651437</v>
      </c>
      <c r="E15" s="20">
        <f>E13*E14</f>
        <v>602630902.2303064</v>
      </c>
      <c r="F15" s="20">
        <f>F13*F14</f>
        <v>578290983.5879513</v>
      </c>
    </row>
    <row r="17" spans="1:2" x14ac:dyDescent="0.25">
      <c r="A17" s="22" t="s">
        <v>52</v>
      </c>
      <c r="B17" s="23">
        <f>SUM(B15:F15)</f>
        <v>3145316037.060473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795384860.5206376</v>
      </c>
    </row>
    <row r="5" spans="1:2" x14ac:dyDescent="0.25">
      <c r="A5" t="s">
        <v>56</v>
      </c>
      <c r="B5" s="18">
        <f>IF(Assumptions!$B$33=0,B4,B4-Forecast!F11-Forecast!F10-Forecast!F12)</f>
        <v>1406950557.0948975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0.08564250195571607</v>
      </c>
    </row>
    <row r="7" spans="1:2" x14ac:dyDescent="0.25">
      <c r="A7" t="s">
        <v>58</v>
      </c>
      <c r="B7" s="18">
        <f>-MAX(Forecast!F9,0)*B6</f>
        <v>-120494765.83759558</v>
      </c>
    </row>
    <row r="8" spans="1:2" x14ac:dyDescent="0.25">
      <c r="A8" t="s">
        <v>59</v>
      </c>
      <c r="B8" s="18">
        <f>IF(OR(Assumptions!$B$33=0,Assumptions!B12&lt;=0),B5,MAX(B5+B7,0))</f>
        <v>1286455791.2573018</v>
      </c>
    </row>
    <row r="9" spans="1:2" x14ac:dyDescent="0.25">
      <c r="A9" t="s">
        <v>60</v>
      </c>
      <c r="B9" s="18">
        <f>B8*(1+Assumptions!B12)/(Assumptions!B26-Assumptions!B12)</f>
        <v>27243000513.8515</v>
      </c>
    </row>
    <row r="10" spans="1:2" x14ac:dyDescent="0.25">
      <c r="A10" t="s">
        <v>61</v>
      </c>
      <c r="B10" s="18">
        <f>B9/(1+Assumptions!B26)^(5-0.5*Assumptions!B32)</f>
        <v>19807243442.790516</v>
      </c>
    </row>
    <row r="11" spans="1:2" x14ac:dyDescent="0.25">
      <c r="A11" t="s">
        <v>62</v>
      </c>
      <c r="B11" s="18">
        <f>Forecast!B17+B10</f>
        <v>22952559479.85099</v>
      </c>
    </row>
    <row r="12" spans="1:2" x14ac:dyDescent="0.25">
      <c r="A12" t="s">
        <v>63</v>
      </c>
      <c r="B12" s="18">
        <f>-Assumptions!B30</f>
        <v>-5748786000</v>
      </c>
    </row>
    <row r="13" spans="1:2" x14ac:dyDescent="0.25">
      <c r="A13" t="s">
        <v>64</v>
      </c>
      <c r="B13" s="18">
        <f>B11+B12</f>
        <v>17203773479.85099</v>
      </c>
    </row>
    <row r="14" spans="1:2" x14ac:dyDescent="0.25">
      <c r="A14" s="19" t="s">
        <v>65</v>
      </c>
      <c r="B14" s="24">
        <f>B13/Assumptions!B31</f>
        <v>32.327103863464835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2289568884.2895603</v>
      </c>
    </row>
    <row r="18" spans="1:2" x14ac:dyDescent="0.25">
      <c r="A18" t="s">
        <v>60</v>
      </c>
      <c r="B18" s="18">
        <f>B17*Assumptions!B13</f>
        <v>26301311742.86217</v>
      </c>
    </row>
    <row r="19" spans="1:2" x14ac:dyDescent="0.25">
      <c r="A19" t="s">
        <v>61</v>
      </c>
      <c r="B19" s="18">
        <f>B18/(1+Assumptions!B26)^(5-0.5*Assumptions!B32)</f>
        <v>19122581020.05759</v>
      </c>
    </row>
    <row r="20" spans="1:2" x14ac:dyDescent="0.25">
      <c r="A20" t="s">
        <v>62</v>
      </c>
      <c r="B20" s="18">
        <f>Forecast!B17+B19</f>
        <v>22267897057.118065</v>
      </c>
    </row>
    <row r="21" spans="1:2" x14ac:dyDescent="0.25">
      <c r="A21" t="s">
        <v>63</v>
      </c>
      <c r="B21" s="18">
        <f>-Assumptions!B30</f>
        <v>-5748786000</v>
      </c>
    </row>
    <row r="22" spans="1:2" x14ac:dyDescent="0.25">
      <c r="A22" t="s">
        <v>64</v>
      </c>
      <c r="B22" s="18">
        <f>B20+B21</f>
        <v>16519111057.118065</v>
      </c>
    </row>
    <row r="23" spans="1:2" x14ac:dyDescent="0.25">
      <c r="A23" s="19" t="s">
        <v>65</v>
      </c>
      <c r="B23" s="25">
        <f>B22/Assumptions!B31</f>
        <v>31.040574877424593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32.21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32.327103863464835</v>
      </c>
    </row>
    <row r="29" spans="1:2" x14ac:dyDescent="0.25">
      <c r="A29" s="19" t="s">
        <v>73</v>
      </c>
      <c r="B29" s="12">
        <f>B28/B26-1</f>
        <v>0.003635636866340608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0.053402</v>
      </c>
      <c r="B5" s="31">
        <v>47.83560396495776</v>
      </c>
      <c r="C5" s="31">
        <v>54.88987386621064</v>
      </c>
      <c r="D5" s="31">
        <v>64.41525079612158</v>
      </c>
      <c r="E5" s="31">
        <v>77.99564234506207</v>
      </c>
      <c r="F5" s="31">
        <v>98.93640767428857</v>
      </c>
    </row>
    <row r="6" spans="1:6" x14ac:dyDescent="0.25">
      <c r="A6" s="30">
        <v>0.063402</v>
      </c>
      <c r="B6" s="31">
        <v>35.125585176298486</v>
      </c>
      <c r="C6" s="31">
        <v>39.132120937818954</v>
      </c>
      <c r="D6" s="31">
        <v>44.173028757125785</v>
      </c>
      <c r="E6" s="31">
        <v>50.71281916852224</v>
      </c>
      <c r="F6" s="31">
        <v>59.54309976588704</v>
      </c>
    </row>
    <row r="7" spans="1:6" x14ac:dyDescent="0.25">
      <c r="A7" s="30">
        <v>0.073402</v>
      </c>
      <c r="B7" s="31">
        <v>26.797675151739014</v>
      </c>
      <c r="C7" s="31">
        <v>29.30663648359374</v>
      </c>
      <c r="D7" s="32">
        <v>32.327154671272304</v>
      </c>
      <c r="E7" s="31">
        <v>36.0360269323536</v>
      </c>
      <c r="F7" s="31">
        <v>40.70212757289044</v>
      </c>
    </row>
    <row r="8" spans="1:6" x14ac:dyDescent="0.25">
      <c r="A8" s="30">
        <v>0.083402</v>
      </c>
      <c r="B8" s="31">
        <v>20.92845512139885</v>
      </c>
      <c r="C8" s="31">
        <v>22.604900691633294</v>
      </c>
      <c r="D8" s="31">
        <v>24.562991981342858</v>
      </c>
      <c r="E8" s="31">
        <v>26.88183999371336</v>
      </c>
      <c r="F8" s="31">
        <v>29.673244878323597</v>
      </c>
    </row>
    <row r="9" spans="1:6" x14ac:dyDescent="0.25">
      <c r="A9" s="30">
        <v>0.093402</v>
      </c>
      <c r="B9" s="31">
        <v>16.575905463634587</v>
      </c>
      <c r="C9" s="31">
        <v>17.748970422644216</v>
      </c>
      <c r="D9" s="31">
        <v>19.089101506825816</v>
      </c>
      <c r="E9" s="31">
        <v>20.635824155086365</v>
      </c>
      <c r="F9" s="31">
        <v>22.44219945199804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15524046000</v>
      </c>
      <c r="C5" s="18">
        <v>14883231000</v>
      </c>
      <c r="D5" s="18">
        <v>14555741000</v>
      </c>
      <c r="E5" s="18">
        <v>14204717000</v>
      </c>
      <c r="F5" s="8" t="s">
        <v>84</v>
      </c>
    </row>
    <row r="6" spans="1:6" x14ac:dyDescent="0.25">
      <c r="A6" t="s">
        <v>44</v>
      </c>
      <c r="B6" s="18">
        <v>1467389000</v>
      </c>
      <c r="C6" s="18">
        <v>1467532000</v>
      </c>
      <c r="D6" s="18">
        <v>1478912000</v>
      </c>
      <c r="E6" s="18">
        <v>1434943000</v>
      </c>
      <c r="F6" s="8" t="s">
        <v>85</v>
      </c>
    </row>
    <row r="7" spans="1:6" x14ac:dyDescent="0.25">
      <c r="A7" t="s">
        <v>86</v>
      </c>
      <c r="B7" s="18">
        <v>494011000</v>
      </c>
      <c r="C7" s="18">
        <v>447162000</v>
      </c>
      <c r="D7" s="18">
        <v>393049000</v>
      </c>
      <c r="E7" s="18">
        <v>343062000</v>
      </c>
      <c r="F7" s="8" t="s">
        <v>87</v>
      </c>
    </row>
    <row r="8" spans="1:6" x14ac:dyDescent="0.25">
      <c r="A8" t="s">
        <v>88</v>
      </c>
      <c r="B8" s="18">
        <v>894770000</v>
      </c>
      <c r="C8" s="18">
        <v>784047000</v>
      </c>
      <c r="D8" s="18">
        <v>753883000</v>
      </c>
      <c r="E8" s="18">
        <v>773369000</v>
      </c>
      <c r="F8" s="8" t="s">
        <v>89</v>
      </c>
    </row>
    <row r="9" spans="1:6" x14ac:dyDescent="0.25">
      <c r="A9" t="s">
        <v>90</v>
      </c>
      <c r="B9" s="18">
        <v>-19889000</v>
      </c>
      <c r="C9" s="18">
        <v>90832000</v>
      </c>
      <c r="D9" s="18">
        <v>181416000</v>
      </c>
      <c r="E9" s="18">
        <v>182478000</v>
      </c>
      <c r="F9" s="8" t="s">
        <v>91</v>
      </c>
    </row>
    <row r="10" spans="1:6" x14ac:dyDescent="0.25">
      <c r="A10" t="s">
        <v>92</v>
      </c>
      <c r="B10" s="18">
        <v>5942895000</v>
      </c>
      <c r="C10" s="18">
        <v>5424448000</v>
      </c>
      <c r="D10" s="18">
        <v>5036018000</v>
      </c>
      <c r="E10" s="18">
        <v>4270204000</v>
      </c>
      <c r="F10" s="8" t="s">
        <v>93</v>
      </c>
    </row>
    <row r="11" spans="1:6" x14ac:dyDescent="0.25">
      <c r="A11" t="s">
        <v>94</v>
      </c>
      <c r="B11" s="18">
        <v>194109000</v>
      </c>
      <c r="C11" s="18">
        <v>251491000</v>
      </c>
      <c r="D11" s="18">
        <v>397071000</v>
      </c>
      <c r="E11" s="18">
        <v>202502000</v>
      </c>
      <c r="F11" s="8" t="s">
        <v>95</v>
      </c>
    </row>
    <row r="12" spans="1:6" x14ac:dyDescent="0.25">
      <c r="A12" t="s">
        <v>32</v>
      </c>
      <c r="B12" s="34">
        <v>532178000</v>
      </c>
      <c r="C12" s="34">
        <v>539652000</v>
      </c>
      <c r="D12" s="34">
        <v>548730000</v>
      </c>
      <c r="E12" s="34">
        <v>560745000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2026-09-19T00:07:44Z</dcterms:modified>
</cp:coreProperties>
</file>