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<sst xmlns="http://schemas.openxmlformats.org/spreadsheetml/2006/main" count="122" uniqueCount="109">
  <si>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Tesla, Inc. (TSLA)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</si>
  <si>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</si>
  <si>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</si>
  <si>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</si>
  <si>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</si>
  <si>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</si>
  <si>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</si>
  <si>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</si>
  <si>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</si>
  <si>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</si>
  <si>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</si>
  <si>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</si>
  <si>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</si>
  <si>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</si>
  <si>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</si>
  <si>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</si>
  <si>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</si>
  <si>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</si>
  <si>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</si>
  <si>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</si>
  <si>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</si>
  <si>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</si>
  <si>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</si>
  <si>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</si>
  <si>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14.3x interest cover. Book interest / average debt was lower, at 2.4%.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</si>
  <si>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</si>
  <si>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</si>
  <si>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</si>
  <si>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</si>
  <si>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</si>
  <si>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</si>
  <si>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</si>
  <si>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</si>
  <si>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</si>
  <si>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</si>
  <si>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</si>
  <si>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</si>
  <si>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</si>
  <si>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</si>
  <si>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</si>
  <si>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</si>
  <si>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</si>
  <si>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</si>
  <si>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</si>
  <si>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</si>
  <si>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</si>
  <si>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</si>
  <si>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</si>
  <si>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</si>
  <si>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</si>
  <si>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</si>
  <si>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</si>
  <si>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</si>
  <si>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</si>
  <si>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</si>
  <si>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</si>
  <si>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</si>
  <si>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</si>
  <si>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</si>
  <si>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</si>
  <si>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</si>
  <si>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</si>
  <si>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</si>
  <si>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</si>
  <si>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</si>
  <si>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</si>
  <si>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</si>
  <si>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</si>
  <si>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</si>
  <si>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</si>
  <si>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</si>
  <si>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</si>
  <si>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</si>
  <si>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</si>
  <si>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</si>
  <si>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</si>
  <si>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</si>
  <si>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</si>
  <si>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</si>
  <si>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</si>
  <si>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</si>
  <si>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</si>
  <si>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</si>
  <si>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</si>
  <si>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</si>
  <si>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</si>
  <si>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</si>
  <si>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</si>
  <si>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</si>
  <si>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</si>
  <si>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</si>
  <si>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</si>
  <si>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</si>
  <si>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</si>
  <si>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</si>
  <si>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</si>
  <si>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</si>
  <si>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</si>
  <si>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</si>
  <si>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</si>
  <si>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</si>
  <si>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</si>
  <si>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</si>
  <si>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</si>
  <si>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</si>
  <si>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</si>
  <si>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9.7% of revenue against depreciation of 5.4%.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</si>
  <si>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141.0x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</si>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</sst>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0.1374284607759393</v>
      </c>
    </row>
    <row r="7" spans="1:2" x14ac:dyDescent="0.25">
      <c r="A7" t="s">
        <v>4</v>
      </c>
      <c r="B7" s="5">
        <v>0.09806048320425302</v>
      </c>
    </row>
    <row r="8" spans="1:2" x14ac:dyDescent="0.25">
      <c r="A8" t="s">
        <v>5</v>
      </c>
      <c r="B8" s="5">
        <v>0.20433815350389323</v>
      </c>
    </row>
    <row r="9" spans="1:2" x14ac:dyDescent="0.25">
      <c r="A9" t="s">
        <v>6</v>
      </c>
      <c r="B9" s="5">
        <v>0.05350158820965328</v>
      </c>
    </row>
    <row r="10" spans="1:3" x14ac:dyDescent="0.25">
      <c r="A10" t="s">
        <v>7</v>
      </c>
      <c r="B10" s="5">
        <v>0.09650552981068172</v>
      </c>
      <c r="C10" s="6" t="s">
        <v>8</v>
      </c>
    </row>
    <row r="11" spans="1:2" x14ac:dyDescent="0.25">
      <c r="A11" t="s">
        <v>9</v>
      </c>
      <c r="B11" s="5">
        <v>0.03293178948837942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0.11650754611000798</v>
      </c>
      <c r="C14" s="6" t="s">
        <v>13</v>
      </c>
    </row>
    <row r="15" spans="1:3" x14ac:dyDescent="0.25">
      <c r="A15" t="s">
        <v>14</v>
      </c>
      <c r="B15" s="5">
        <v>0.05350158820965328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1.6137199999999998</v>
      </c>
      <c r="C19" s="6" t="s">
        <v>21</v>
      </c>
    </row>
    <row r="20" spans="1:2" x14ac:dyDescent="0.25">
      <c r="A20" t="s">
        <v>22</v>
      </c>
      <c r="B20" s="9">
        <f>B17+B19*B18</f>
        <v>0.117200356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1580341002240</v>
      </c>
    </row>
    <row r="23" spans="1:2" x14ac:dyDescent="0.25">
      <c r="A23" t="s">
        <v>26</v>
      </c>
      <c r="B23" s="10">
        <v>14719000000</v>
      </c>
    </row>
    <row r="24" spans="1:2" x14ac:dyDescent="0.25">
      <c r="A24" t="s">
        <v>27</v>
      </c>
      <c r="B24" s="9">
        <f>B22/(B22+B23)</f>
        <v>0.9907721339765717</v>
      </c>
    </row>
    <row r="25" spans="1:2" x14ac:dyDescent="0.25">
      <c r="A25" t="s">
        <v>28</v>
      </c>
      <c r="B25" s="9">
        <f>1-B24</f>
        <v>0.009227866023428288</v>
      </c>
    </row>
    <row r="26" spans="1:2" x14ac:dyDescent="0.25">
      <c r="A26" t="s">
        <v>29</v>
      </c>
      <c r="B26" s="11">
        <f>B24*B20+B25*B21*(1-B8)</f>
        <v>0.11650754611000798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94827000000</v>
      </c>
      <c r="C29" s="6" t="s">
        <v>32</v>
      </c>
    </row>
    <row r="30" spans="1:2" x14ac:dyDescent="0.25">
      <c r="A30" t="s">
        <v>33</v>
      </c>
      <c r="B30" s="10">
        <v>-29340000000</v>
      </c>
    </row>
    <row r="31" spans="1:2" x14ac:dyDescent="0.25">
      <c r="A31" t="s">
        <v>34</v>
      </c>
      <c r="B31" s="12">
        <v>3528000000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0.1374284607759393</v>
      </c>
      <c r="C5" s="5">
        <v>0.13535516783570434</v>
      </c>
      <c r="D5" s="5">
        <v>0.1215607718562413</v>
      </c>
      <c r="E5" s="5">
        <v>0.10776637587677826</v>
      </c>
      <c r="F5" s="5">
        <v>0.0939719798973152</v>
      </c>
      <c r="G5" s="5">
        <v>0.08017758391785217</v>
      </c>
      <c r="H5" s="5">
        <v>0.06638318793838913</v>
      </c>
      <c r="I5" s="5">
        <v>0.05258879195892607</v>
      </c>
      <c r="J5" s="5">
        <v>0.038794395979463034</v>
      </c>
      <c r="K5" s="5">
        <v>0.024999999999999994</v>
      </c>
    </row>
    <row r="6" spans="1:11" x14ac:dyDescent="0.25">
      <c r="A6" t="s">
        <v>50</v>
      </c>
      <c r="B6" s="18">
        <f>Assumptions!B29*(1+B5)</f>
        <v>107858928650</v>
      </c>
      <c r="C6" s="18">
        <f>B6*(1+C5)</f>
        <v>122458192040.00002</v>
      </c>
      <c r="D6" s="18">
        <f>C6*(1+D5)</f>
        <v>137344304384.50224</v>
      </c>
      <c r="E6" s="18">
        <f>D6*(1+E5)</f>
        <v>152145402315.33716</v>
      </c>
      <c r="F6" s="18">
        <f>E6*(1+F5)</f>
        <v>166442807003.18295</v>
      </c>
      <c r="G6" s="18">
        <f>F6*(1+G5)</f>
        <v>179787789129.20355</v>
      </c>
      <c r="H6" s="18">
        <f>G6*(1+H5)</f>
        <v>191722675723.99496</v>
      </c>
      <c r="I6" s="18">
        <f>H6*(1+I5)</f>
        <v>201805139631.4528</v>
      </c>
      <c r="J6" s="18">
        <f>I6*(1+J5)</f>
        <v>209634048129.0062</v>
      </c>
      <c r="K6" s="18">
        <f>J6*(1+K5)</f>
        <v>214874899332.23132</v>
      </c>
    </row>
    <row r="7" spans="1:11" x14ac:dyDescent="0.25">
      <c r="A7" t="s">
        <v>4</v>
      </c>
      <c r="B7" s="9">
        <f>Assumptions!B7</f>
        <v>0.09806048320425302</v>
      </c>
      <c r="C7" s="9">
        <f>Assumptions!B7</f>
        <v>0.09806048320425302</v>
      </c>
      <c r="D7" s="9">
        <f>Assumptions!B7</f>
        <v>0.09806048320425302</v>
      </c>
      <c r="E7" s="9">
        <f>Assumptions!B7</f>
        <v>0.09806048320425302</v>
      </c>
      <c r="F7" s="9">
        <f>Assumptions!B7</f>
        <v>0.09806048320425302</v>
      </c>
      <c r="G7" s="9">
        <f>Assumptions!B7</f>
        <v>0.09806048320425302</v>
      </c>
      <c r="H7" s="9">
        <f>Assumptions!B7</f>
        <v>0.09806048320425302</v>
      </c>
      <c r="I7" s="9">
        <f>Assumptions!B7</f>
        <v>0.09806048320425302</v>
      </c>
      <c r="J7" s="9">
        <f>Assumptions!B7</f>
        <v>0.09806048320425302</v>
      </c>
      <c r="K7" s="9">
        <f>Assumptions!B7</f>
        <v>0.09806048320425302</v>
      </c>
    </row>
    <row r="8" spans="1:11" x14ac:dyDescent="0.25">
      <c r="A8" t="s">
        <v>51</v>
      </c>
      <c r="B8" s="18">
        <f>B6*B7</f>
        <v>10576698661.31205</v>
      </c>
      <c r="C8" s="18">
        <f>C6*C7</f>
        <v>12008309483.761612</v>
      </c>
      <c r="D8" s="18">
        <f>D6*D7</f>
        <v>13468048853.296297</v>
      </c>
      <c r="E8" s="18">
        <f>E6*E7</f>
        <v>14919451668.347439</v>
      </c>
      <c r="F8" s="18">
        <f>F6*F7</f>
        <v>16321462080.60435</v>
      </c>
      <c r="G8" s="18">
        <f>G6*G7</f>
        <v>17630077476.234047</v>
      </c>
      <c r="H8" s="18">
        <f>H6*H7</f>
        <v>18800418222.707256</v>
      </c>
      <c r="I8" s="18">
        <f>I6*I7</f>
        <v>19789109505.36201</v>
      </c>
      <c r="J8" s="18">
        <f>J6*J7</f>
        <v>20556816055.593983</v>
      </c>
      <c r="K8" s="18">
        <f>K6*K7</f>
        <v>21070736456.98383</v>
      </c>
    </row>
    <row r="9" spans="1:11" x14ac:dyDescent="0.25">
      <c r="A9" t="s">
        <v>52</v>
      </c>
      <c r="B9" s="18">
        <f>B8*(1-Assumptions!B8)</f>
        <v>8415475586.692446</v>
      </c>
      <c r="C9" s="18">
        <f>C8*(1-Assumptions!B8)</f>
        <v>9554553697.146475</v>
      </c>
      <c r="D9" s="18">
        <f>D8*(1-Assumptions!B8)</f>
        <v>10716012619.313505</v>
      </c>
      <c r="E9" s="18">
        <f>E8*(1-Assumptions!B8)</f>
        <v>11870838463.146744</v>
      </c>
      <c r="F9" s="18">
        <f>F8*(1-Assumptions!B8)</f>
        <v>12986364656.569843</v>
      </c>
      <c r="G9" s="18">
        <f>G8*(1-Assumptions!B8)</f>
        <v>14027579998.609802</v>
      </c>
      <c r="H9" s="18">
        <f>H8*(1-Assumptions!B8)</f>
        <v>14958775477.978308</v>
      </c>
      <c r="I9" s="18">
        <f>I8*(1-Assumptions!B8)</f>
        <v>15745439409.549995</v>
      </c>
      <c r="J9" s="18">
        <f>J8*(1-Assumptions!B8)</f>
        <v>16356274220.874722</v>
      </c>
      <c r="K9" s="18">
        <f>K8*(1-Assumptions!B8)</f>
        <v>16765181076.396587</v>
      </c>
    </row>
    <row r="10" spans="1:11" x14ac:dyDescent="0.25">
      <c r="A10" t="s">
        <v>53</v>
      </c>
      <c r="B10" s="18">
        <f>B6*Assumptions!B9</f>
        <v>5770623985.366674</v>
      </c>
      <c r="C10" s="18">
        <f>C6*Assumptions!B9</f>
        <v>6551707763.422722</v>
      </c>
      <c r="D10" s="18">
        <f>D6*Assumptions!B9</f>
        <v>7348138416.120916</v>
      </c>
      <c r="E10" s="18">
        <f>E6*Assumptions!B9</f>
        <v>8140020662.667197</v>
      </c>
      <c r="F10" s="18">
        <f>F6*Assumptions!B9</f>
        <v>8904954520.74309</v>
      </c>
      <c r="G10" s="18">
        <f>G6*Assumptions!B9</f>
        <v>9618932259.114626</v>
      </c>
      <c r="H10" s="18">
        <f>H6*Assumptions!B9</f>
        <v>10257467647.038067</v>
      </c>
      <c r="I10" s="18">
        <f>I6*Assumptions!B9</f>
        <v>10796895479.153568</v>
      </c>
      <c r="J10" s="18">
        <f>J6*Assumptions!B9</f>
        <v>11215754517.720726</v>
      </c>
      <c r="K10" s="18">
        <f>K6*Assumptions!B9</f>
        <v>11496148380.663742</v>
      </c>
    </row>
    <row r="11" spans="1:11" x14ac:dyDescent="0.25">
      <c r="A11" t="s">
        <v>54</v>
      </c>
      <c r="B11" s="18">
        <f>-B6*B19</f>
        <v>-10408983054.180767</v>
      </c>
      <c r="C11" s="18">
        <f>-C6*C19</f>
        <v>-11460561110.670408</v>
      </c>
      <c r="D11" s="18">
        <f>-D6*D19</f>
        <v>-12452946669.272326</v>
      </c>
      <c r="E11" s="18">
        <f>-E6*E19</f>
        <v>-13350997071.859434</v>
      </c>
      <c r="F11" s="18">
        <f>-F6*F19</f>
        <v>-14119938509.400692</v>
      </c>
      <c r="G11" s="18">
        <f>-G6*G19</f>
        <v>-14727422369.340122</v>
      </c>
      <c r="H11" s="18">
        <f>-H6*H19</f>
        <v>-15145631060.105347</v>
      </c>
      <c r="I11" s="18">
        <f>-I6*I19</f>
        <v>-15353256431.405197</v>
      </c>
      <c r="J11" s="18">
        <f>-J6*J19</f>
        <v>-15337167006.683893</v>
      </c>
      <c r="K11" s="18">
        <f>-K6*K19</f>
        <v>-15093593704.198124</v>
      </c>
    </row>
    <row r="12" spans="1:11" x14ac:dyDescent="0.25">
      <c r="A12" t="s">
        <v>55</v>
      </c>
      <c r="B12" s="18">
        <f>-(B6-Assumptions!B29)*Assumptions!B11</f>
        <v>-429164730.92938066</v>
      </c>
      <c r="C12" s="18">
        <f>-(C6-B6)*Assumptions!B11</f>
        <v>-480779868.64488506</v>
      </c>
      <c r="D12" s="18">
        <f>-(D6-C6)*Assumptions!B11</f>
        <v>-490226318.02951366</v>
      </c>
      <c r="E12" s="18">
        <f>-(E6-D6)*Assumptions!B11</f>
        <v>-487426641.2551437</v>
      </c>
      <c r="F12" s="18">
        <f>-(F6-E6)*Assumptions!B11</f>
        <v>-470839121.4103068</v>
      </c>
      <c r="G12" s="18">
        <f>-(G6-F6)*Assumptions!B11</f>
        <v>-439474142.10029644</v>
      </c>
      <c r="H12" s="18">
        <f>-(H6-G6)*Assumptions!B11</f>
        <v>-393037172.9073523</v>
      </c>
      <c r="I12" s="18">
        <f>-(I6-H6)*Assumptions!B11</f>
        <v>-332033578.9245845</v>
      </c>
      <c r="J12" s="18">
        <f>-(J6-I6)*Assumptions!B11</f>
        <v>-257819966.5652136</v>
      </c>
      <c r="K12" s="18">
        <f>-(K6-J6)*Assumptions!B11</f>
        <v>-172590608.56452993</v>
      </c>
    </row>
    <row r="13" spans="1:11" x14ac:dyDescent="0.25">
      <c r="A13" s="19" t="s">
        <v>56</v>
      </c>
      <c r="B13" s="20">
        <f>B9+B10+B11+B12</f>
        <v>3347951786.9489727</v>
      </c>
      <c r="C13" s="20">
        <f>C9+C10+C11+C12</f>
        <v>4164920481.2539034</v>
      </c>
      <c r="D13" s="20">
        <f>D9+D10+D11+D12</f>
        <v>5120978048.132583</v>
      </c>
      <c r="E13" s="20">
        <f>E9+E10+E11+E12</f>
        <v>6172435412.699364</v>
      </c>
      <c r="F13" s="20">
        <f>F9+F10+F11+F12</f>
        <v>7300541546.501936</v>
      </c>
      <c r="G13" s="20">
        <f>G9+G10+G11+G12</f>
        <v>8479615746.284008</v>
      </c>
      <c r="H13" s="20">
        <f>H9+H10+H11+H12</f>
        <v>9677574892.003674</v>
      </c>
      <c r="I13" s="20">
        <f>I9+I10+I11+I12</f>
        <v>10857044878.373781</v>
      </c>
      <c r="J13" s="20">
        <f>J9+J10+J11+J12</f>
        <v>11977041765.34634</v>
      </c>
      <c r="K13" s="20">
        <f>K9+K10+K11+K12</f>
        <v>12995145144.297676</v>
      </c>
    </row>
    <row r="14" spans="1:11" x14ac:dyDescent="0.25">
      <c r="A14" t="s">
        <v>57</v>
      </c>
      <c r="B14" s="21">
        <f>1/(1+Assumptions!$B$26)^(1-0.5*Assumptions!$B$32)</f>
        <v>0.9463878774703814</v>
      </c>
      <c r="C14" s="21">
        <f>1/(1+Assumptions!$B$26)^(2-0.5*Assumptions!$B$32)</f>
        <v>0.8476323162952767</v>
      </c>
      <c r="D14" s="21">
        <f>1/(1+Assumptions!$B$26)^(3-0.5*Assumptions!$B$32)</f>
        <v>0.7591818964847019</v>
      </c>
      <c r="E14" s="21">
        <f>1/(1+Assumptions!$B$26)^(4-0.5*Assumptions!$B$32)</f>
        <v>0.6799612766879596</v>
      </c>
      <c r="F14" s="21">
        <f>1/(1+Assumptions!$B$26)^(5-0.5*Assumptions!$B$32)</f>
        <v>0.6090073274085726</v>
      </c>
      <c r="G14" s="21">
        <f>1/(1+Assumptions!$B$26)^(6-0.5*Assumptions!$B$32)</f>
        <v>0.5454574216989375</v>
      </c>
      <c r="H14" s="21">
        <f>1/(1+Assumptions!$B$26)^(7-0.5*Assumptions!$B$32)</f>
        <v>0.4885389477208193</v>
      </c>
      <c r="I14" s="21">
        <f>1/(1+Assumptions!$B$26)^(8-0.5*Assumptions!$B$32)</f>
        <v>0.437559915670005</v>
      </c>
      <c r="J14" s="21">
        <f>1/(1+Assumptions!$B$26)^(9-0.5*Assumptions!$B$32)</f>
        <v>0.39190054486823217</v>
      </c>
      <c r="K14" s="21">
        <f>1/(1+Assumptions!$B$26)^(10-0.5*Assumptions!$B$32)</f>
        <v>0.35100572874195224</v>
      </c>
    </row>
    <row r="15" spans="1:11" x14ac:dyDescent="0.25">
      <c r="A15" s="19" t="s">
        <v>58</v>
      </c>
      <c r="B15" s="20">
        <f>B13*B14</f>
        <v>3168460985.523809</v>
      </c>
      <c r="C15" s="20">
        <f>C13*C14</f>
        <v>3530321194.7108846</v>
      </c>
      <c r="D15" s="20">
        <f>D13*D14</f>
        <v>3887753826.4378214</v>
      </c>
      <c r="E15" s="20">
        <f>E13*E14</f>
        <v>4197017063.493032</v>
      </c>
      <c r="F15" s="20">
        <f>F13*F14</f>
        <v>4446083295.870391</v>
      </c>
      <c r="G15" s="20">
        <f>G13*G14</f>
        <v>4625269341.965787</v>
      </c>
      <c r="H15" s="20">
        <f>H13*H14</f>
        <v>4727872254.228896</v>
      </c>
      <c r="I15" s="20">
        <f>I13*I14</f>
        <v>4750607641.406692</v>
      </c>
      <c r="J15" s="20">
        <f>J13*J14</f>
        <v>4693809193.748804</v>
      </c>
      <c r="K15" s="20">
        <f>K13*K14</f>
        <v>4561370391.4816475</v>
      </c>
    </row>
    <row r="17" spans="1:2" x14ac:dyDescent="0.25">
      <c r="A17" s="22" t="s">
        <v>59</v>
      </c>
      <c r="B17" s="23">
        <f>SUM(B15:K15)</f>
        <v>42588565188.86777</v>
      </c>
    </row>
    <row r="19" spans="1:11" x14ac:dyDescent="0.25">
      <c r="A19" t="s">
        <v>7</v>
      </c>
      <c r="B19" s="9">
        <f>Assumptions!$B$10+($B$20-Assumptions!$B$10)*0/9</f>
        <v>0.09650552981068172</v>
      </c>
      <c r="C19" s="9">
        <f>Assumptions!$B$10+($B$20-Assumptions!$B$10)*1/9</f>
        <v>0.0935875413457591</v>
      </c>
      <c r="D19" s="9">
        <f>Assumptions!$B$10+($B$20-Assumptions!$B$10)*2/9</f>
        <v>0.09066955288083646</v>
      </c>
      <c r="E19" s="9">
        <f>Assumptions!$B$10+($B$20-Assumptions!$B$10)*3/9</f>
        <v>0.08775156441591384</v>
      </c>
      <c r="F19" s="9">
        <f>Assumptions!$B$10+($B$20-Assumptions!$B$10)*4/9</f>
        <v>0.08483357595099121</v>
      </c>
      <c r="G19" s="9">
        <f>Assumptions!$B$10+($B$20-Assumptions!$B$10)*5/9</f>
        <v>0.08191558748606857</v>
      </c>
      <c r="H19" s="9">
        <f>Assumptions!$B$10+($B$20-Assumptions!$B$10)*6/9</f>
        <v>0.07899759902114595</v>
      </c>
      <c r="I19" s="9">
        <f>Assumptions!$B$10+($B$20-Assumptions!$B$10)*7/9</f>
        <v>0.07607961055622332</v>
      </c>
      <c r="J19" s="9">
        <f>Assumptions!$B$10+($B$20-Assumptions!$B$10)*8/9</f>
        <v>0.0731616220913007</v>
      </c>
      <c r="K19" s="9">
        <f>Assumptions!$B$10+($B$20-Assumptions!$B$10)*9/9</f>
        <v>0.07024363362637806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0.07024363362637806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12995145144.297676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16765181076.396587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0.21457837569074426</v>
      </c>
    </row>
    <row r="7" spans="1:2" x14ac:dyDescent="0.25">
      <c r="A7" t="s">
        <v>66</v>
      </c>
      <c r="B7" s="18">
        <f>-MAX(B5,0)*B6</f>
        <v>-3597445323.5343833</v>
      </c>
    </row>
    <row r="8" spans="1:2" x14ac:dyDescent="0.25">
      <c r="A8" t="s">
        <v>67</v>
      </c>
      <c r="B8" s="18">
        <f>IF(OR(Assumptions!$B$33=0,Assumptions!B12&lt;=0),B5,MAX(B5+B7,0))</f>
        <v>13167735752.862204</v>
      </c>
    </row>
    <row r="9" spans="1:2" x14ac:dyDescent="0.25">
      <c r="A9" t="s">
        <v>68</v>
      </c>
      <c r="B9" s="18">
        <f>B8*(1+Assumptions!B12)/(Assumptions!B26-Assumptions!B12)</f>
        <v>147495258264.9097</v>
      </c>
    </row>
    <row r="10" spans="1:2" x14ac:dyDescent="0.25">
      <c r="A10" t="s">
        <v>69</v>
      </c>
      <c r="B10" s="18">
        <f>B9/(1+Assumptions!B26)^(10-0.5*Assumptions!B32)</f>
        <v>51771680613.25708</v>
      </c>
    </row>
    <row r="11" spans="1:2" x14ac:dyDescent="0.25">
      <c r="A11" t="s">
        <v>70</v>
      </c>
      <c r="B11" s="18">
        <f>Forecast!B17+B10</f>
        <v>94360245802.12485</v>
      </c>
    </row>
    <row r="12" spans="1:2" x14ac:dyDescent="0.25">
      <c r="A12" t="s">
        <v>71</v>
      </c>
      <c r="B12" s="18">
        <f>-Assumptions!B30</f>
        <v>29340000000</v>
      </c>
    </row>
    <row r="13" spans="1:2" x14ac:dyDescent="0.25">
      <c r="A13" t="s">
        <v>72</v>
      </c>
      <c r="B13" s="18">
        <f>B11+B12</f>
        <v>123700245802.12485</v>
      </c>
    </row>
    <row r="14" spans="1:2" x14ac:dyDescent="0.25">
      <c r="A14" s="19" t="s">
        <v>73</v>
      </c>
      <c r="B14" s="24">
        <f>B13/Assumptions!B31</f>
        <v>35.06242794844809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32566884837.64757</v>
      </c>
    </row>
    <row r="18" spans="1:2" x14ac:dyDescent="0.25">
      <c r="A18" t="s">
        <v>68</v>
      </c>
      <c r="B18" s="18">
        <f>B17*Assumptions!B13</f>
        <v>651337696752.9514</v>
      </c>
    </row>
    <row r="19" spans="1:2" x14ac:dyDescent="0.25">
      <c r="A19" t="s">
        <v>69</v>
      </c>
      <c r="B19" s="18">
        <f>B18/(1+Assumptions!B26)^(10-0.5*Assumptions!B32)</f>
        <v>228623262905.87442</v>
      </c>
    </row>
    <row r="20" spans="1:2" x14ac:dyDescent="0.25">
      <c r="A20" t="s">
        <v>70</v>
      </c>
      <c r="B20" s="18">
        <f>Forecast!B17+B19</f>
        <v>271211828094.7422</v>
      </c>
    </row>
    <row r="21" spans="1:2" x14ac:dyDescent="0.25">
      <c r="A21" t="s">
        <v>71</v>
      </c>
      <c r="B21" s="18">
        <f>-Assumptions!B30</f>
        <v>29340000000</v>
      </c>
    </row>
    <row r="22" spans="1:2" x14ac:dyDescent="0.25">
      <c r="A22" t="s">
        <v>72</v>
      </c>
      <c r="B22" s="18">
        <f>B20+B21</f>
        <v>300551828094.7422</v>
      </c>
    </row>
    <row r="23" spans="1:2" x14ac:dyDescent="0.25">
      <c r="A23" s="19" t="s">
        <v>73</v>
      </c>
      <c r="B23" s="25">
        <f>B22/Assumptions!B31</f>
        <v>85.19042746449608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399.81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35.06242794844809</v>
      </c>
    </row>
    <row r="29" spans="1:2" x14ac:dyDescent="0.25">
      <c r="A29" s="19" t="s">
        <v>81</v>
      </c>
      <c r="B29" s="11">
        <f>B28/B26-1</f>
        <v>-0.9123022737088915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0.096508</v>
      </c>
      <c r="B5" s="31">
        <v>43.11202285563527</v>
      </c>
      <c r="C5" s="31">
        <v>42.635487636960555</v>
      </c>
      <c r="D5" s="31">
        <v>42.158952418285836</v>
      </c>
      <c r="E5" s="31">
        <v>41.68241719961113</v>
      </c>
      <c r="F5" s="31">
        <v>41.20588198093641</v>
      </c>
    </row>
    <row r="6" spans="1:6" x14ac:dyDescent="0.25">
      <c r="A6" s="30">
        <v>0.106508</v>
      </c>
      <c r="B6" s="31">
        <v>39.07289404113024</v>
      </c>
      <c r="C6" s="31">
        <v>38.66421671973408</v>
      </c>
      <c r="D6" s="31">
        <v>38.25553939833791</v>
      </c>
      <c r="E6" s="31">
        <v>37.84686207694174</v>
      </c>
      <c r="F6" s="31">
        <v>37.43818475554558</v>
      </c>
    </row>
    <row r="7" spans="1:6" x14ac:dyDescent="0.25">
      <c r="A7" s="30">
        <v>0.116508</v>
      </c>
      <c r="B7" s="31">
        <v>35.770070760803144</v>
      </c>
      <c r="C7" s="31">
        <v>35.41618353818608</v>
      </c>
      <c r="D7" s="32">
        <v>35.06229631556901</v>
      </c>
      <c r="E7" s="31">
        <v>34.70840909295194</v>
      </c>
      <c r="F7" s="31">
        <v>34.35452187033487</v>
      </c>
    </row>
    <row r="8" spans="1:6" x14ac:dyDescent="0.25">
      <c r="A8" s="30">
        <v>0.126508</v>
      </c>
      <c r="B8" s="31">
        <v>33.02609009150421</v>
      </c>
      <c r="C8" s="31">
        <v>32.71712631430737</v>
      </c>
      <c r="D8" s="31">
        <v>32.40816253711053</v>
      </c>
      <c r="E8" s="31">
        <v>32.09919875991368</v>
      </c>
      <c r="F8" s="31">
        <v>31.790234982716843</v>
      </c>
    </row>
    <row r="9" spans="1:6" x14ac:dyDescent="0.25">
      <c r="A9" s="30">
        <v>0.136508</v>
      </c>
      <c r="B9" s="31">
        <v>30.715711204783837</v>
      </c>
      <c r="C9" s="31">
        <v>30.44405900809478</v>
      </c>
      <c r="D9" s="31">
        <v>30.17240681140571</v>
      </c>
      <c r="E9" s="31">
        <v>29.90075461471665</v>
      </c>
      <c r="F9" s="31">
        <v>29.62910241802759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94827000000</v>
      </c>
      <c r="C5" s="18">
        <v>97690000000</v>
      </c>
      <c r="D5" s="18">
        <v>96773000000</v>
      </c>
      <c r="E5" s="18">
        <v>81462000000</v>
      </c>
      <c r="F5" s="6" t="s">
        <v>91</v>
      </c>
    </row>
    <row r="6" spans="1:6" x14ac:dyDescent="0.25">
      <c r="A6" t="s">
        <v>51</v>
      </c>
      <c r="B6" s="18">
        <v>4849000000</v>
      </c>
      <c r="C6" s="18">
        <v>7760000000</v>
      </c>
      <c r="D6" s="18">
        <v>8891000000</v>
      </c>
      <c r="E6" s="18">
        <v>13832000000</v>
      </c>
      <c r="F6" s="6" t="s">
        <v>92</v>
      </c>
    </row>
    <row r="7" spans="1:6" x14ac:dyDescent="0.25">
      <c r="A7" t="s">
        <v>93</v>
      </c>
      <c r="B7" s="18">
        <v>6148000000</v>
      </c>
      <c r="C7" s="18">
        <v>5368000000</v>
      </c>
      <c r="D7" s="18">
        <v>4667000000</v>
      </c>
      <c r="E7" s="18">
        <v>3747000000</v>
      </c>
      <c r="F7" s="6" t="s">
        <v>94</v>
      </c>
    </row>
    <row r="8" spans="1:6" x14ac:dyDescent="0.25">
      <c r="A8" t="s">
        <v>95</v>
      </c>
      <c r="B8" s="18">
        <v>8527000000</v>
      </c>
      <c r="C8" s="18">
        <v>11342000000</v>
      </c>
      <c r="D8" s="18">
        <v>8899000000</v>
      </c>
      <c r="E8" s="18">
        <v>7172000000</v>
      </c>
      <c r="F8" s="6" t="s">
        <v>96</v>
      </c>
    </row>
    <row r="9" spans="1:6" x14ac:dyDescent="0.25">
      <c r="A9" t="s">
        <v>97</v>
      </c>
      <c r="B9" s="18">
        <v>-642000000</v>
      </c>
      <c r="C9" s="18">
        <v>-81000000</v>
      </c>
      <c r="D9" s="18">
        <v>2248000000</v>
      </c>
      <c r="E9" s="18">
        <v>3712000000</v>
      </c>
      <c r="F9" s="6" t="s">
        <v>98</v>
      </c>
    </row>
    <row r="10" spans="1:6" x14ac:dyDescent="0.25">
      <c r="A10" t="s">
        <v>99</v>
      </c>
      <c r="B10" s="18">
        <v>14719000000</v>
      </c>
      <c r="C10" s="18">
        <v>13623000000</v>
      </c>
      <c r="D10" s="18">
        <v>9573000000</v>
      </c>
      <c r="E10" s="18">
        <v>5748000000</v>
      </c>
      <c r="F10" s="6" t="s">
        <v>100</v>
      </c>
    </row>
    <row r="11" spans="1:6" x14ac:dyDescent="0.25">
      <c r="A11" t="s">
        <v>101</v>
      </c>
      <c r="B11" s="18">
        <v>44059000000</v>
      </c>
      <c r="C11" s="18">
        <v>36563000000</v>
      </c>
      <c r="D11" s="18">
        <v>29094000000</v>
      </c>
      <c r="E11" s="18">
        <v>22185000000</v>
      </c>
      <c r="F11" s="6" t="s">
        <v>102</v>
      </c>
    </row>
    <row r="12" spans="1:6" x14ac:dyDescent="0.25">
      <c r="A12" t="s">
        <v>34</v>
      </c>
      <c r="B12" s="34">
        <v>3528000000</v>
      </c>
      <c r="C12" s="34">
        <v>3216000000</v>
      </c>
      <c r="D12" s="34">
        <v>3482750000</v>
      </c>
      <c r="E12" s="34">
        <v>3475000000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