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<sst xmlns="http://schemas.openxmlformats.org/spreadsheetml/2006/main" count="114" uniqueCount="102">
  <si>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Tesla, Inc. (TSLA)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</si>
  <si>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</si>
  <si>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</si>
  <si>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</si>
  <si>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</si>
  <si>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</si>
  <si>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</si>
  <si>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</si>
  <si>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</si>
  <si>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</si>
  <si>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</si>
  <si>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</si>
  <si>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</si>
  <si>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</si>
  <si>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</si>
  <si>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</si>
  <si>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</si>
  <si>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</si>
  <si>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</si>
  <si>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</si>
  <si>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</si>
  <si>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</si>
  <si>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</si>
  <si>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</si>
  <si>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</si>
  <si>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</si>
  <si>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</si>
  <si>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</si>
  <si>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</si>
  <si>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</si>
  <si>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</si>
  <si>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</si>
  <si>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</si>
  <si>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</si>
  <si>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</si>
  <si>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</si>
  <si>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</si>
  <si>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</si>
  <si>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</si>
  <si>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</si>
  <si>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</si>
  <si>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</si>
  <si>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</si>
  <si>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</si>
  <si>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</si>
  <si>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</si>
  <si>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</si>
  <si>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</si>
  <si>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</si>
  <si>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</si>
  <si>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</si>
  <si>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</si>
  <si>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</si>
  <si>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</si>
  <si>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</si>
  <si>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</si>
  <si>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</si>
  <si>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</si>
  <si>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</si>
  <si>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</si>
  <si>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</si>
  <si>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</si>
  <si>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</si>
  <si>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</si>
  <si>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</si>
  <si>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</si>
  <si>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</si>
  <si>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</si>
  <si>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</si>
  <si>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</si>
  <si>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</si>
  <si>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</si>
  <si>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</si>
  <si>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</si>
  <si>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</si>
  <si>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</si>
  <si>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</si>
  <si>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</si>
  <si>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</si>
  <si>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</si>
  <si>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</si>
  <si>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</si>
  <si>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</si>
  <si>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</si>
  <si>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</si>
  <si>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</si>
  <si>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</si>
  <si>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</si>
  <si>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</si>
  <si>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</si>
  <si>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</si>
  <si>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</si>
  <si>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</si>
  <si>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</si>
  <si>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</si>
  <si>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</si>
  <si>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</si>
  <si>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</si>
  <si>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6.3%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</si>
  <si>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9.7% of revenue against depreciation of 5.4%. A perpetuity has to be a steady state, so the terminal year uses maintenance capex at depreciation and then charges the reinvestment terminal growth requires (g/ROIC of NOPAT). The bridge is shown under Terminal Value.</t>
  </si>
  <si>
    <t>Current EV/EBITDA of 128.2x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</si>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</sst>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0.051943257367141005</v>
      </c>
    </row>
    <row r="7" spans="1:2" x14ac:dyDescent="0.25">
      <c r="A7" t="s">
        <v>5</v>
      </c>
      <c r="B7" s="6">
        <v>0.09806048320425302</v>
      </c>
    </row>
    <row r="8" spans="1:2" x14ac:dyDescent="0.25">
      <c r="A8" t="s">
        <v>6</v>
      </c>
      <c r="B8" s="6">
        <v>0.20433815350389323</v>
      </c>
    </row>
    <row r="9" spans="1:2" x14ac:dyDescent="0.25">
      <c r="A9" t="s">
        <v>7</v>
      </c>
      <c r="B9" s="6">
        <v>0.05350158820965328</v>
      </c>
    </row>
    <row r="10" spans="1:2" x14ac:dyDescent="0.25">
      <c r="A10" t="s">
        <v>8</v>
      </c>
      <c r="B10" s="6">
        <v>0.09650552981068172</v>
      </c>
    </row>
    <row r="11" spans="1:2" x14ac:dyDescent="0.25">
      <c r="A11" t="s">
        <v>9</v>
      </c>
      <c r="B11" s="6">
        <v>0.1468225458820456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0.13514248880052818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1.56615</v>
      </c>
      <c r="C19" s="8" t="s">
        <v>19</v>
      </c>
    </row>
    <row r="20" spans="1:2" x14ac:dyDescent="0.25">
      <c r="A20" t="s">
        <v>20</v>
      </c>
      <c r="B20" s="10">
        <f>B17+B19*B18</f>
        <v>0.13611825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1438701584384</v>
      </c>
    </row>
    <row r="23" spans="1:2" x14ac:dyDescent="0.25">
      <c r="A23" t="s">
        <v>24</v>
      </c>
      <c r="B23" s="11">
        <v>14719000000</v>
      </c>
    </row>
    <row r="24" spans="1:2" x14ac:dyDescent="0.25">
      <c r="A24" t="s">
        <v>25</v>
      </c>
      <c r="B24" s="10">
        <f>B22/(B22+B23)</f>
        <v>0.9898728556908127</v>
      </c>
    </row>
    <row r="25" spans="1:2" x14ac:dyDescent="0.25">
      <c r="A25" t="s">
        <v>26</v>
      </c>
      <c r="B25" s="10">
        <f>1-B24</f>
        <v>0.010127144309187264</v>
      </c>
    </row>
    <row r="26" spans="1:2" x14ac:dyDescent="0.25">
      <c r="A26" t="s">
        <v>27</v>
      </c>
      <c r="B26" s="12">
        <f>B24*B20+B25*B21*(1-B8)</f>
        <v>0.13514248880052818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94827000000</v>
      </c>
      <c r="C29" s="8" t="s">
        <v>30</v>
      </c>
    </row>
    <row r="30" spans="1:2" x14ac:dyDescent="0.25">
      <c r="A30" t="s">
        <v>31</v>
      </c>
      <c r="B30" s="11">
        <v>-29340000000</v>
      </c>
    </row>
    <row r="31" spans="1:2" x14ac:dyDescent="0.25">
      <c r="A31" t="s">
        <v>32</v>
      </c>
      <c r="B31" s="13">
        <v>3526250000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0.051943257367141005</v>
      </c>
      <c r="C5" s="10">
        <f>Assumptions!B6</f>
        <v>0.051943257367141005</v>
      </c>
      <c r="D5" s="10">
        <f>Assumptions!B6</f>
        <v>0.051943257367141005</v>
      </c>
      <c r="E5" s="10">
        <f>Assumptions!B6</f>
        <v>0.051943257367141005</v>
      </c>
      <c r="F5" s="10">
        <f>Assumptions!B6</f>
        <v>0.051943257367141005</v>
      </c>
    </row>
    <row r="6" spans="1:6" x14ac:dyDescent="0.25">
      <c r="A6" t="s">
        <v>43</v>
      </c>
      <c r="B6" s="18">
        <f>Assumptions!B29*(1+B5)</f>
        <v>99752623266.35388</v>
      </c>
      <c r="C6" s="18">
        <f>B6*(1+C5)</f>
        <v>104934099449.72556</v>
      </c>
      <c r="D6" s="18">
        <f>C6*(1+D5)</f>
        <v>110384718384.03181</v>
      </c>
      <c r="E6" s="18">
        <f>D6*(1+E5)</f>
        <v>116118460220.45296</v>
      </c>
      <c r="F6" s="18">
        <f>E6*(1+F5)</f>
        <v>122150031284.76007</v>
      </c>
    </row>
    <row r="7" spans="1:6" x14ac:dyDescent="0.25">
      <c r="A7" t="s">
        <v>5</v>
      </c>
      <c r="B7" s="10">
        <f>Assumptions!B7</f>
        <v>0.09806048320425302</v>
      </c>
      <c r="C7" s="10">
        <f>Assumptions!B7</f>
        <v>0.09806048320425302</v>
      </c>
      <c r="D7" s="10">
        <f>Assumptions!B7</f>
        <v>0.09806048320425302</v>
      </c>
      <c r="E7" s="10">
        <f>Assumptions!B7</f>
        <v>0.09806048320425302</v>
      </c>
      <c r="F7" s="10">
        <f>Assumptions!B7</f>
        <v>0.09806048320425302</v>
      </c>
    </row>
    <row r="8" spans="1:6" x14ac:dyDescent="0.25">
      <c r="A8" t="s">
        <v>44</v>
      </c>
      <c r="B8" s="18">
        <f>B6*B7</f>
        <v>9781790438.390474</v>
      </c>
      <c r="C8" s="18">
        <f>C6*C7</f>
        <v>10289888496.643229</v>
      </c>
      <c r="D8" s="18">
        <f>D6*D7</f>
        <v>10824378823.103552</v>
      </c>
      <c r="E8" s="18">
        <f>E6*E7</f>
        <v>11386632318.15145</v>
      </c>
      <c r="F8" s="18">
        <f>F6*F7</f>
        <v>11978091091.198196</v>
      </c>
    </row>
    <row r="9" spans="1:6" x14ac:dyDescent="0.25">
      <c r="A9" t="s">
        <v>45</v>
      </c>
      <c r="B9" s="18">
        <f>B8*(1-Assumptions!B8)</f>
        <v>7782997442.247726</v>
      </c>
      <c r="C9" s="18">
        <f>C8*(1-Assumptions!B8)</f>
        <v>8187271681.478199</v>
      </c>
      <c r="D9" s="18">
        <f>D8*(1-Assumptions!B8)</f>
        <v>8612545241.563927</v>
      </c>
      <c r="E9" s="18">
        <f>E8*(1-Assumptions!B8)</f>
        <v>9059908895.632626</v>
      </c>
      <c r="F9" s="18">
        <f>F8*(1-Assumptions!B8)</f>
        <v>9530510075.121323</v>
      </c>
    </row>
    <row r="10" spans="1:6" x14ac:dyDescent="0.25">
      <c r="A10" t="s">
        <v>46</v>
      </c>
      <c r="B10" s="18">
        <f>B6*Assumptions!B9</f>
        <v>5336923772.829144</v>
      </c>
      <c r="C10" s="18">
        <f>C6*Assumptions!B9</f>
        <v>5614140977.910021</v>
      </c>
      <c r="D10" s="18">
        <f>D6*Assumptions!B9</f>
        <v>5905757747.621014</v>
      </c>
      <c r="E10" s="18">
        <f>E6*Assumptions!B9</f>
        <v>6212522042.253679</v>
      </c>
      <c r="F10" s="18">
        <f>F6*Assumptions!B9</f>
        <v>6535220673.593498</v>
      </c>
    </row>
    <row r="11" spans="1:6" x14ac:dyDescent="0.25">
      <c r="A11" t="s">
        <v>47</v>
      </c>
      <c r="B11" s="18">
        <f>-B6*Assumptions!B10</f>
        <v>-9626679758.324818</v>
      </c>
      <c r="C11" s="18">
        <f>-C6*Assumptions!B10</f>
        <v>-10126720862.60253</v>
      </c>
      <c r="D11" s="18">
        <f>-D6*Assumptions!B10</f>
        <v>-10652735730.653889</v>
      </c>
      <c r="E11" s="18">
        <f>-E6*Assumptions!B10</f>
        <v>-11206073524.375383</v>
      </c>
      <c r="F11" s="18">
        <f>-F6*Assumptions!B10</f>
        <v>-11788153485.527119</v>
      </c>
    </row>
    <row r="12" spans="1:6" x14ac:dyDescent="0.25">
      <c r="A12" t="s">
        <v>48</v>
      </c>
      <c r="B12" s="18">
        <f>-(B6-Assumptions!B29)*Assumptions!B11</f>
        <v>-723192548.0219141</v>
      </c>
      <c r="C12" s="18">
        <f>-(C6-B6)*Assumptions!B11</f>
        <v>-760757524.6698141</v>
      </c>
      <c r="D12" s="18">
        <f>-(D6-C6)*Assumptions!B11</f>
        <v>-800273748.5677272</v>
      </c>
      <c r="E12" s="18">
        <f>-(E6-D6)*Assumptions!B11</f>
        <v>-841842573.8537476</v>
      </c>
      <c r="F12" s="18">
        <f>-(F6-E6)*Assumptions!B11</f>
        <v>-885570619.3300499</v>
      </c>
    </row>
    <row r="13" spans="1:6" x14ac:dyDescent="0.25">
      <c r="A13" s="19" t="s">
        <v>49</v>
      </c>
      <c r="B13" s="20">
        <f>B9+B10+B11+B12</f>
        <v>2770048908.7301383</v>
      </c>
      <c r="C13" s="20">
        <f>C9+C10+C11+C12</f>
        <v>2913934272.115876</v>
      </c>
      <c r="D13" s="20">
        <f>D9+D10+D11+D12</f>
        <v>3065293509.9633245</v>
      </c>
      <c r="E13" s="20">
        <f>E9+E10+E11+E12</f>
        <v>3224514839.657174</v>
      </c>
      <c r="F13" s="20">
        <f>F9+F10+F11+F12</f>
        <v>3392006643.857652</v>
      </c>
    </row>
    <row r="14" spans="1:6" x14ac:dyDescent="0.25">
      <c r="A14" t="s">
        <v>50</v>
      </c>
      <c r="B14" s="21">
        <f>1/(1+Assumptions!$B$26)^(1-0.5*Assumptions!$B$32)</f>
        <v>0.938587595261123</v>
      </c>
      <c r="C14" s="21">
        <f>1/(1+Assumptions!$B$26)^(2-0.5*Assumptions!$B$32)</f>
        <v>0.8268456202823499</v>
      </c>
      <c r="D14" s="21">
        <f>1/(1+Assumptions!$B$26)^(3-0.5*Assumptions!$B$32)</f>
        <v>0.7284068990810602</v>
      </c>
      <c r="E14" s="21">
        <f>1/(1+Assumptions!$B$26)^(4-0.5*Assumptions!$B$32)</f>
        <v>0.6416876350481308</v>
      </c>
      <c r="F14" s="21">
        <f>1/(1+Assumptions!$B$26)^(5-0.5*Assumptions!$B$32)</f>
        <v>0.5652925878284967</v>
      </c>
    </row>
    <row r="15" spans="1:6" x14ac:dyDescent="0.25">
      <c r="A15" s="19" t="s">
        <v>51</v>
      </c>
      <c r="B15" s="20">
        <f>B13*B14</f>
        <v>2599933544.0007186</v>
      </c>
      <c r="C15" s="20">
        <f>C13*C14</f>
        <v>2409373790.689649</v>
      </c>
      <c r="D15" s="20">
        <f>D13*D14</f>
        <v>2232780940.365684</v>
      </c>
      <c r="E15" s="20">
        <f>E13*E14</f>
        <v>2069131301.6372147</v>
      </c>
      <c r="F15" s="20">
        <f>F13*F14</f>
        <v>1917476213.637746</v>
      </c>
    </row>
    <row r="17" spans="1:2" x14ac:dyDescent="0.25">
      <c r="A17" s="22" t="s">
        <v>52</v>
      </c>
      <c r="B17" s="23">
        <f>SUM(B15:F15)</f>
        <v>11228695790.331013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3392006643.857652</v>
      </c>
    </row>
    <row r="5" spans="1:2" x14ac:dyDescent="0.25">
      <c r="A5" t="s">
        <v>56</v>
      </c>
      <c r="B5" s="18">
        <f>IF(Assumptions!$B$33=0,B4,B4-Forecast!F11-Forecast!F10-Forecast!F12)</f>
        <v>9530510075.121323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0.18498993337987346</v>
      </c>
    </row>
    <row r="7" spans="1:2" x14ac:dyDescent="0.25">
      <c r="A7" t="s">
        <v>58</v>
      </c>
      <c r="B7" s="18">
        <f>-MAX(Forecast!F9,0)*B6</f>
        <v>-1763048423.8729062</v>
      </c>
    </row>
    <row r="8" spans="1:2" x14ac:dyDescent="0.25">
      <c r="A8" t="s">
        <v>59</v>
      </c>
      <c r="B8" s="18">
        <f>IF(OR(Assumptions!$B$33=0,Assumptions!B12&lt;=0),B5,MAX(B5+B7,0))</f>
        <v>7767461651.248417</v>
      </c>
    </row>
    <row r="9" spans="1:2" x14ac:dyDescent="0.25">
      <c r="A9" t="s">
        <v>60</v>
      </c>
      <c r="B9" s="18">
        <f>B8*(1+Assumptions!B12)/(Assumptions!B26-Assumptions!B12)</f>
        <v>72284985378.78914</v>
      </c>
    </row>
    <row r="10" spans="1:2" x14ac:dyDescent="0.25">
      <c r="A10" t="s">
        <v>61</v>
      </c>
      <c r="B10" s="18">
        <f>B9/(1+Assumptions!B26)^(5-0.5*Assumptions!B32)</f>
        <v>40862166445.92075</v>
      </c>
    </row>
    <row r="11" spans="1:2" x14ac:dyDescent="0.25">
      <c r="A11" t="s">
        <v>62</v>
      </c>
      <c r="B11" s="18">
        <f>Forecast!B17+B10</f>
        <v>52090862236.25177</v>
      </c>
    </row>
    <row r="12" spans="1:2" x14ac:dyDescent="0.25">
      <c r="A12" t="s">
        <v>63</v>
      </c>
      <c r="B12" s="18">
        <f>-Assumptions!B30</f>
        <v>29340000000</v>
      </c>
    </row>
    <row r="13" spans="1:2" x14ac:dyDescent="0.25">
      <c r="A13" t="s">
        <v>64</v>
      </c>
      <c r="B13" s="18">
        <f>B11+B12</f>
        <v>81430862236.25177</v>
      </c>
    </row>
    <row r="14" spans="1:2" x14ac:dyDescent="0.25">
      <c r="A14" s="19" t="s">
        <v>65</v>
      </c>
      <c r="B14" s="24">
        <f>B13/Assumptions!B31</f>
        <v>23.092764902162855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18513311764.791695</v>
      </c>
    </row>
    <row r="18" spans="1:2" x14ac:dyDescent="0.25">
      <c r="A18" t="s">
        <v>60</v>
      </c>
      <c r="B18" s="18">
        <f>B17*Assumptions!B13</f>
        <v>370266235295.83386</v>
      </c>
    </row>
    <row r="19" spans="1:2" x14ac:dyDescent="0.25">
      <c r="A19" t="s">
        <v>61</v>
      </c>
      <c r="B19" s="18">
        <f>B18/(1+Assumptions!B26)^(5-0.5*Assumptions!B32)</f>
        <v>209308758335.89697</v>
      </c>
    </row>
    <row r="20" spans="1:2" x14ac:dyDescent="0.25">
      <c r="A20" t="s">
        <v>62</v>
      </c>
      <c r="B20" s="18">
        <f>Forecast!B17+B19</f>
        <v>220537454126.228</v>
      </c>
    </row>
    <row r="21" spans="1:2" x14ac:dyDescent="0.25">
      <c r="A21" t="s">
        <v>63</v>
      </c>
      <c r="B21" s="18">
        <f>-Assumptions!B30</f>
        <v>29340000000</v>
      </c>
    </row>
    <row r="22" spans="1:2" x14ac:dyDescent="0.25">
      <c r="A22" t="s">
        <v>64</v>
      </c>
      <c r="B22" s="18">
        <f>B20+B21</f>
        <v>249877454126.228</v>
      </c>
    </row>
    <row r="23" spans="1:2" x14ac:dyDescent="0.25">
      <c r="A23" s="19" t="s">
        <v>65</v>
      </c>
      <c r="B23" s="25">
        <f>B22/Assumptions!B31</f>
        <v>70.86209262707635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364.27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23.092764902162855</v>
      </c>
    </row>
    <row r="29" spans="1:2" x14ac:dyDescent="0.25">
      <c r="A29" s="19" t="s">
        <v>73</v>
      </c>
      <c r="B29" s="12">
        <f>B28/B26-1</f>
        <v>-0.9366053616763311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0.115142</v>
      </c>
      <c r="B5" s="31">
        <v>26.23135112399882</v>
      </c>
      <c r="C5" s="31">
        <v>26.3032220933084</v>
      </c>
      <c r="D5" s="31">
        <v>26.37509306261798</v>
      </c>
      <c r="E5" s="31">
        <v>26.44696403192756</v>
      </c>
      <c r="F5" s="31">
        <v>26.518835001237132</v>
      </c>
    </row>
    <row r="6" spans="1:6" x14ac:dyDescent="0.25">
      <c r="A6" s="30">
        <v>0.125142</v>
      </c>
      <c r="B6" s="31">
        <v>24.467226175460276</v>
      </c>
      <c r="C6" s="31">
        <v>24.530750044792374</v>
      </c>
      <c r="D6" s="31">
        <v>24.594273914124475</v>
      </c>
      <c r="E6" s="31">
        <v>24.657797783456573</v>
      </c>
      <c r="F6" s="31">
        <v>24.721321652788674</v>
      </c>
    </row>
    <row r="7" spans="1:6" x14ac:dyDescent="0.25">
      <c r="A7" s="30">
        <v>0.135142</v>
      </c>
      <c r="B7" s="31">
        <v>22.979778254359385</v>
      </c>
      <c r="C7" s="31">
        <v>23.036305371949247</v>
      </c>
      <c r="D7" s="32">
        <v>23.092832489539106</v>
      </c>
      <c r="E7" s="31">
        <v>23.149359607128968</v>
      </c>
      <c r="F7" s="31">
        <v>23.205886724718827</v>
      </c>
    </row>
    <row r="8" spans="1:6" x14ac:dyDescent="0.25">
      <c r="A8" s="30">
        <v>0.145142</v>
      </c>
      <c r="B8" s="31">
        <v>21.711010444325666</v>
      </c>
      <c r="C8" s="31">
        <v>21.761606061899617</v>
      </c>
      <c r="D8" s="31">
        <v>21.812201679473567</v>
      </c>
      <c r="E8" s="31">
        <v>21.86279729704752</v>
      </c>
      <c r="F8" s="31">
        <v>21.913392914621472</v>
      </c>
    </row>
    <row r="9" spans="1:6" x14ac:dyDescent="0.25">
      <c r="A9" s="30">
        <v>0.155142</v>
      </c>
      <c r="B9" s="31">
        <v>20.617927296868647</v>
      </c>
      <c r="C9" s="31">
        <v>20.66344543379163</v>
      </c>
      <c r="D9" s="31">
        <v>20.70896357071461</v>
      </c>
      <c r="E9" s="31">
        <v>20.754481707637584</v>
      </c>
      <c r="F9" s="31">
        <v>20.799999844560567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94827000000</v>
      </c>
      <c r="C5" s="18">
        <v>97690000000</v>
      </c>
      <c r="D5" s="18">
        <v>96773000000</v>
      </c>
      <c r="E5" s="18">
        <v>81462000000</v>
      </c>
      <c r="F5" s="8" t="s">
        <v>84</v>
      </c>
    </row>
    <row r="6" spans="1:6" x14ac:dyDescent="0.25">
      <c r="A6" t="s">
        <v>44</v>
      </c>
      <c r="B6" s="18">
        <v>4849000000</v>
      </c>
      <c r="C6" s="18">
        <v>7760000000</v>
      </c>
      <c r="D6" s="18">
        <v>8891000000</v>
      </c>
      <c r="E6" s="18">
        <v>13832000000</v>
      </c>
      <c r="F6" s="8" t="s">
        <v>85</v>
      </c>
    </row>
    <row r="7" spans="1:6" x14ac:dyDescent="0.25">
      <c r="A7" t="s">
        <v>86</v>
      </c>
      <c r="B7" s="18">
        <v>6148000000</v>
      </c>
      <c r="C7" s="18">
        <v>5368000000</v>
      </c>
      <c r="D7" s="18">
        <v>4667000000</v>
      </c>
      <c r="E7" s="18">
        <v>3747000000</v>
      </c>
      <c r="F7" s="8" t="s">
        <v>87</v>
      </c>
    </row>
    <row r="8" spans="1:6" x14ac:dyDescent="0.25">
      <c r="A8" t="s">
        <v>88</v>
      </c>
      <c r="B8" s="18">
        <v>8527000000</v>
      </c>
      <c r="C8" s="18">
        <v>11342000000</v>
      </c>
      <c r="D8" s="18">
        <v>8899000000</v>
      </c>
      <c r="E8" s="18">
        <v>7172000000</v>
      </c>
      <c r="F8" s="8" t="s">
        <v>89</v>
      </c>
    </row>
    <row r="9" spans="1:6" x14ac:dyDescent="0.25">
      <c r="A9" t="s">
        <v>90</v>
      </c>
      <c r="B9" s="18">
        <v>-642000000</v>
      </c>
      <c r="C9" s="18">
        <v>-81000000</v>
      </c>
      <c r="D9" s="18">
        <v>2248000000</v>
      </c>
      <c r="E9" s="18">
        <v>3712000000</v>
      </c>
      <c r="F9" s="8" t="s">
        <v>91</v>
      </c>
    </row>
    <row r="10" spans="1:6" x14ac:dyDescent="0.25">
      <c r="A10" t="s">
        <v>92</v>
      </c>
      <c r="B10" s="18">
        <v>14719000000</v>
      </c>
      <c r="C10" s="18">
        <v>13623000000</v>
      </c>
      <c r="D10" s="18">
        <v>9573000000</v>
      </c>
      <c r="E10" s="18">
        <v>5748000000</v>
      </c>
      <c r="F10" s="8" t="s">
        <v>93</v>
      </c>
    </row>
    <row r="11" spans="1:6" x14ac:dyDescent="0.25">
      <c r="A11" t="s">
        <v>94</v>
      </c>
      <c r="B11" s="18">
        <v>44059000000</v>
      </c>
      <c r="C11" s="18">
        <v>36563000000</v>
      </c>
      <c r="D11" s="18">
        <v>29094000000</v>
      </c>
      <c r="E11" s="18">
        <v>22185000000</v>
      </c>
      <c r="F11" s="8" t="s">
        <v>95</v>
      </c>
    </row>
    <row r="12" spans="1:6" x14ac:dyDescent="0.25">
      <c r="A12" t="s">
        <v>32</v>
      </c>
      <c r="B12" s="34">
        <v>3526250000</v>
      </c>
      <c r="C12" s="34">
        <v>3216000000</v>
      </c>
      <c r="D12" s="34">
        <v>3482750000</v>
      </c>
      <c r="E12" s="34">
        <v>3475000000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2026-09-19T00:06:55Z</dcterms:modified>
</cp:coreProperties>
</file>