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<sst xmlns="http://schemas.openxmlformats.org/spreadsheetml/2006/main" count="119" uniqueCount="106">
  <si>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Tyson Foods, Inc. (TSN)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</si>
  <si>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</si>
  <si>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</si>
  <si>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</si>
  <si>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</si>
  <si>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</si>
  <si>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</si>
  <si>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</si>
  <si>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</si>
  <si>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</si>
  <si>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</si>
  <si>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</si>
  <si>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</si>
  <si>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</si>
  <si>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</si>
  <si>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</si>
  <si>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</si>
  <si>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</si>
  <si>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</si>
  <si>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</si>
  <si>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</si>
  <si>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</si>
  <si>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</si>
  <si>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</si>
  <si>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3.2x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</si>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</sst>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0.03227773663231748</v>
      </c>
    </row>
    <row r="7" spans="1:2" x14ac:dyDescent="0.25">
      <c r="A7" t="s">
        <v>4</v>
      </c>
      <c r="B7" s="5">
        <v>0.03574160051647852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0.024785434955621917</v>
      </c>
    </row>
    <row r="10" spans="1:3" x14ac:dyDescent="0.25">
      <c r="A10" t="s">
        <v>7</v>
      </c>
      <c r="B10" s="5">
        <v>0.02782041534908617</v>
      </c>
      <c r="C10" s="6" t="s">
        <v>8</v>
      </c>
    </row>
    <row r="11" spans="1:2" x14ac:dyDescent="0.25">
      <c r="A11" t="s">
        <v>9</v>
      </c>
      <c r="B11" s="5">
        <v>0.10073011181363806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9.874289313347608</v>
      </c>
    </row>
    <row r="14" spans="1:3" x14ac:dyDescent="0.25">
      <c r="A14" t="s">
        <v>12</v>
      </c>
      <c r="B14" s="5">
        <v>0.06541546081341483</v>
      </c>
      <c r="C14" s="6" t="s">
        <v>13</v>
      </c>
    </row>
    <row r="15" spans="1:3" x14ac:dyDescent="0.25">
      <c r="A15" t="s">
        <v>14</v>
      </c>
      <c r="B15" s="5">
        <v>0.020088798141145996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0.59465</v>
      </c>
      <c r="C19" s="6" t="s">
        <v>21</v>
      </c>
    </row>
    <row r="20" spans="1:2" x14ac:dyDescent="0.25">
      <c r="A20" t="s">
        <v>22</v>
      </c>
      <c r="B20" s="9">
        <f>B17+B19*B18</f>
        <v>0.074093695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20066758656</v>
      </c>
    </row>
    <row r="23" spans="1:2" x14ac:dyDescent="0.25">
      <c r="A23" t="s">
        <v>26</v>
      </c>
      <c r="B23" s="10">
        <v>8830000000</v>
      </c>
    </row>
    <row r="24" spans="1:2" x14ac:dyDescent="0.25">
      <c r="A24" t="s">
        <v>27</v>
      </c>
      <c r="B24" s="9">
        <f>B22/(B22+B23)</f>
        <v>0.6944293958669798</v>
      </c>
    </row>
    <row r="25" spans="1:2" x14ac:dyDescent="0.25">
      <c r="A25" t="s">
        <v>28</v>
      </c>
      <c r="B25" s="9">
        <f>1-B24</f>
        <v>0.3055706041330202</v>
      </c>
    </row>
    <row r="26" spans="1:2" x14ac:dyDescent="0.25">
      <c r="A26" t="s">
        <v>29</v>
      </c>
      <c r="B26" s="11">
        <f>B24*B20+B25*B21*(1-B8)</f>
        <v>0.06541546081341483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54441000000</v>
      </c>
      <c r="C29" s="6" t="s">
        <v>32</v>
      </c>
    </row>
    <row r="30" spans="1:2" x14ac:dyDescent="0.25">
      <c r="A30" t="s">
        <v>33</v>
      </c>
      <c r="B30" s="10">
        <v>7601000000</v>
      </c>
    </row>
    <row r="31" spans="1:2" x14ac:dyDescent="0.25">
      <c r="A31" t="s">
        <v>34</v>
      </c>
      <c r="B31" s="12">
        <v>356390977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0.03227773663231748</v>
      </c>
      <c r="C5" s="5">
        <v>-0.013419374234245662</v>
      </c>
      <c r="D5" s="5">
        <v>-0.008616952454964955</v>
      </c>
      <c r="E5" s="5">
        <v>-0.0038145306756842464</v>
      </c>
      <c r="F5" s="5">
        <v>0.0009878911035964624</v>
      </c>
      <c r="G5" s="5">
        <v>0.0057903128828771695</v>
      </c>
      <c r="H5" s="5">
        <v>0.010592734662157877</v>
      </c>
      <c r="I5" s="5">
        <v>0.015395156441438587</v>
      </c>
      <c r="J5" s="5">
        <v>0.02019757822071929</v>
      </c>
      <c r="K5" s="5">
        <v>0.025</v>
      </c>
    </row>
    <row r="6" spans="1:11" x14ac:dyDescent="0.25">
      <c r="A6" t="s">
        <v>50</v>
      </c>
      <c r="B6" s="18">
        <f>Assumptions!B29*(1+B5)</f>
        <v>56198232259.99999</v>
      </c>
      <c r="C6" s="18">
        <f>B6*(1+C5)</f>
        <v>55444087149.99999</v>
      </c>
      <c r="D6" s="18">
        <f>C6*(1+D5)</f>
        <v>54966328087.11951</v>
      </c>
      <c r="E6" s="18">
        <f>D6*(1+E5)</f>
        <v>54756657342.501465</v>
      </c>
      <c r="F6" s="18">
        <f>E6*(1+F5)</f>
        <v>54810750957.15281</v>
      </c>
      <c r="G6" s="18">
        <f>F6*(1+G5)</f>
        <v>55128122354.540184</v>
      </c>
      <c r="H6" s="18">
        <f>G6*(1+H5)</f>
        <v>55712079927.064804</v>
      </c>
      <c r="I6" s="18">
        <f>H6*(1+I5)</f>
        <v>56569776113.219894</v>
      </c>
      <c r="J6" s="18">
        <f>I6*(1+J5)</f>
        <v>57712348591.19524</v>
      </c>
      <c r="K6" s="18">
        <f>J6*(1+K5)</f>
        <v>59155157305.97511</v>
      </c>
    </row>
    <row r="7" spans="1:11" x14ac:dyDescent="0.25">
      <c r="A7" t="s">
        <v>4</v>
      </c>
      <c r="B7" s="9">
        <f>Assumptions!B7</f>
        <v>0.03574160051647852</v>
      </c>
      <c r="C7" s="9">
        <f>Assumptions!B7</f>
        <v>0.03574160051647852</v>
      </c>
      <c r="D7" s="9">
        <f>Assumptions!B7</f>
        <v>0.03574160051647852</v>
      </c>
      <c r="E7" s="9">
        <f>Assumptions!B7</f>
        <v>0.03574160051647852</v>
      </c>
      <c r="F7" s="9">
        <f>Assumptions!B7</f>
        <v>0.03574160051647852</v>
      </c>
      <c r="G7" s="9">
        <f>Assumptions!B7</f>
        <v>0.03574160051647852</v>
      </c>
      <c r="H7" s="9">
        <f>Assumptions!B7</f>
        <v>0.03574160051647852</v>
      </c>
      <c r="I7" s="9">
        <f>Assumptions!B7</f>
        <v>0.03574160051647852</v>
      </c>
      <c r="J7" s="9">
        <f>Assumptions!B7</f>
        <v>0.03574160051647852</v>
      </c>
      <c r="K7" s="9">
        <f>Assumptions!B7</f>
        <v>0.03574160051647852</v>
      </c>
    </row>
    <row r="8" spans="1:11" x14ac:dyDescent="0.25">
      <c r="A8" t="s">
        <v>51</v>
      </c>
      <c r="B8" s="18">
        <f>B6*B7</f>
        <v>2008614767.1691954</v>
      </c>
      <c r="C8" s="18">
        <f>C6*C7</f>
        <v>1981660413.9161196</v>
      </c>
      <c r="D8" s="18">
        <f>D6*D7</f>
        <v>1964584540.3475182</v>
      </c>
      <c r="E8" s="18">
        <f>E6*E7</f>
        <v>1957090572.3533876</v>
      </c>
      <c r="F8" s="18">
        <f>F6*F7</f>
        <v>1959023964.7187483</v>
      </c>
      <c r="G8" s="18">
        <f>G6*G7</f>
        <v>1970367326.4195244</v>
      </c>
      <c r="H8" s="18">
        <f>H6*H7</f>
        <v>1991238904.695272</v>
      </c>
      <c r="I8" s="18">
        <f>I6*I7</f>
        <v>2021894339.1453342</v>
      </c>
      <c r="J8" s="18">
        <f>J6*J7</f>
        <v>2062731708.214252</v>
      </c>
      <c r="K8" s="18">
        <f>K6*K7</f>
        <v>2114300000.919608</v>
      </c>
    </row>
    <row r="9" spans="1:11" x14ac:dyDescent="0.25">
      <c r="A9" t="s">
        <v>52</v>
      </c>
      <c r="B9" s="18">
        <f>B8*(1-Assumptions!B8)</f>
        <v>1586805666.0636644</v>
      </c>
      <c r="C9" s="18">
        <f>C8*(1-Assumptions!B8)</f>
        <v>1565511726.9937346</v>
      </c>
      <c r="D9" s="18">
        <f>D8*(1-Assumptions!B8)</f>
        <v>1552021786.8745394</v>
      </c>
      <c r="E9" s="18">
        <f>E8*(1-Assumptions!B8)</f>
        <v>1546101552.1591763</v>
      </c>
      <c r="F9" s="18">
        <f>F8*(1-Assumptions!B8)</f>
        <v>1547628932.1278112</v>
      </c>
      <c r="G9" s="18">
        <f>G8*(1-Assumptions!B8)</f>
        <v>1556590187.8714244</v>
      </c>
      <c r="H9" s="18">
        <f>H8*(1-Assumptions!B8)</f>
        <v>1573078734.709265</v>
      </c>
      <c r="I9" s="18">
        <f>I8*(1-Assumptions!B8)</f>
        <v>1597296527.9248142</v>
      </c>
      <c r="J9" s="18">
        <f>J8*(1-Assumptions!B8)</f>
        <v>1629558049.4892592</v>
      </c>
      <c r="K9" s="18">
        <f>K8*(1-Assumptions!B8)</f>
        <v>1670297000.7264905</v>
      </c>
    </row>
    <row r="10" spans="1:11" x14ac:dyDescent="0.25">
      <c r="A10" t="s">
        <v>53</v>
      </c>
      <c r="B10" s="18">
        <f>B6*Assumptions!B9</f>
        <v>1392897630.3011632</v>
      </c>
      <c r="C10" s="18">
        <f>C6*Assumptions!B9</f>
        <v>1374205815.7301579</v>
      </c>
      <c r="D10" s="18">
        <f>D6*Assumptions!B9</f>
        <v>1362364349.5526745</v>
      </c>
      <c r="E10" s="18">
        <f>E6*Assumptions!B9</f>
        <v>1357167568.9498472</v>
      </c>
      <c r="F10" s="18">
        <f>F6*Assumptions!B9</f>
        <v>1358508302.7173026</v>
      </c>
      <c r="G10" s="18">
        <f>G6*Assumptions!B9</f>
        <v>1366374490.8440223</v>
      </c>
      <c r="H10" s="18">
        <f>H6*Assumptions!B9</f>
        <v>1380848133.2746742</v>
      </c>
      <c r="I10" s="18">
        <f>I6*Assumptions!B9</f>
        <v>1402106506.3083062</v>
      </c>
      <c r="J10" s="18">
        <f>J6*Assumptions!B9</f>
        <v>1430425662.1432476</v>
      </c>
      <c r="K10" s="18">
        <f>K6*Assumptions!B9</f>
        <v>1466186303.6968288</v>
      </c>
    </row>
    <row r="11" spans="1:11" x14ac:dyDescent="0.25">
      <c r="A11" t="s">
        <v>54</v>
      </c>
      <c r="B11" s="18">
        <f>-B6*B19</f>
        <v>-1563458163.3576133</v>
      </c>
      <c r="C11" s="18">
        <f>-C6*C19</f>
        <v>-1570060039.752308</v>
      </c>
      <c r="D11" s="18">
        <f>-D6*D19</f>
        <v>-1583875736.4788377</v>
      </c>
      <c r="E11" s="18">
        <f>-E6*E19</f>
        <v>-1605074515.645361</v>
      </c>
      <c r="F11" s="18">
        <f>-F6*F19</f>
        <v>-1633927586.8988645</v>
      </c>
      <c r="G11" s="18">
        <f>-G6*G19</f>
        <v>-1670813858.2390792</v>
      </c>
      <c r="H11" s="18">
        <f>-H6*H19</f>
        <v>-1716228174.6246288</v>
      </c>
      <c r="I11" s="18">
        <f>-I6*I19</f>
        <v>-1770792293.893444</v>
      </c>
      <c r="J11" s="18">
        <f>-J6*J19</f>
        <v>-1835268938.502533</v>
      </c>
      <c r="K11" s="18">
        <f>-K6*K19</f>
        <v>-1910579363.9241388</v>
      </c>
    </row>
    <row r="12" spans="1:11" x14ac:dyDescent="0.25">
      <c r="A12" t="s">
        <v>55</v>
      </c>
      <c r="B12" s="18">
        <f>-(B6-Assumptions!B29)*Assumptions!B11</f>
        <v>-177006202.03233114</v>
      </c>
      <c r="C12" s="18">
        <f>-(C6-B6)*Assumptions!B11</f>
        <v>75965121.25400837</v>
      </c>
      <c r="D12" s="18">
        <f>-(D6-C6)*Assumptions!B11</f>
        <v>48124723.82393024</v>
      </c>
      <c r="E12" s="18">
        <f>-(E6-D6)*Assumptions!B11</f>
        <v>21120157.54942412</v>
      </c>
      <c r="F12" s="18">
        <f>-(F6-E6)*Assumptions!B11</f>
        <v>-5448855.852233761</v>
      </c>
      <c r="G12" s="18">
        <f>-(G6-F6)*Assumptions!B11</f>
        <v>-31968856.34528083</v>
      </c>
      <c r="H12" s="18">
        <f>-(H6-G6)*Assumptions!B11</f>
        <v>-58822111.57482563</v>
      </c>
      <c r="I12" s="18">
        <f>-(I6-H6)*Assumptions!B11</f>
        <v>-86395832.73353317</v>
      </c>
      <c r="J12" s="18">
        <f>-(J6-I6)*Assumptions!B11</f>
        <v>-115091453.46164168</v>
      </c>
      <c r="K12" s="18">
        <f>-(K6-J6)*Assumptions!B11</f>
        <v>-145334283.1654684</v>
      </c>
    </row>
    <row r="13" spans="1:11" x14ac:dyDescent="0.25">
      <c r="A13" s="19" t="s">
        <v>56</v>
      </c>
      <c r="B13" s="20">
        <f>B9+B10+B11+B12</f>
        <v>1239238930.974883</v>
      </c>
      <c r="C13" s="20">
        <f>C9+C10+C11+C12</f>
        <v>1445622624.2255926</v>
      </c>
      <c r="D13" s="20">
        <f>D9+D10+D11+D12</f>
        <v>1378635123.7723062</v>
      </c>
      <c r="E13" s="20">
        <f>E9+E10+E11+E12</f>
        <v>1319314763.0130868</v>
      </c>
      <c r="F13" s="20">
        <f>F9+F10+F11+F12</f>
        <v>1266760792.0940156</v>
      </c>
      <c r="G13" s="20">
        <f>G9+G10+G11+G12</f>
        <v>1220181964.1310863</v>
      </c>
      <c r="H13" s="20">
        <f>H9+H10+H11+H12</f>
        <v>1178876581.7844849</v>
      </c>
      <c r="I13" s="20">
        <f>I9+I10+I11+I12</f>
        <v>1142214907.6061432</v>
      </c>
      <c r="J13" s="20">
        <f>J9+J10+J11+J12</f>
        <v>1109623319.668332</v>
      </c>
      <c r="K13" s="20">
        <f>K9+K10+K11+K12</f>
        <v>1080569657.333712</v>
      </c>
    </row>
    <row r="14" spans="1:11" x14ac:dyDescent="0.25">
      <c r="A14" t="s">
        <v>57</v>
      </c>
      <c r="B14" s="21">
        <f>1/(1+Assumptions!$B$26)^(1-0.5*Assumptions!$B$32)</f>
        <v>0.9688142154741828</v>
      </c>
      <c r="C14" s="21">
        <f>1/(1+Assumptions!$B$26)^(2-0.5*Assumptions!$B$32)</f>
        <v>0.9093299760588421</v>
      </c>
      <c r="D14" s="21">
        <f>1/(1+Assumptions!$B$26)^(3-0.5*Assumptions!$B$32)</f>
        <v>0.8534980104048747</v>
      </c>
      <c r="E14" s="21">
        <f>1/(1+Assumptions!$B$26)^(4-0.5*Assumptions!$B$32)</f>
        <v>0.8010940724975522</v>
      </c>
      <c r="F14" s="21">
        <f>1/(1+Assumptions!$B$26)^(5-0.5*Assumptions!$B$32)</f>
        <v>0.7519076848067695</v>
      </c>
      <c r="G14" s="21">
        <f>1/(1+Assumptions!$B$26)^(6-0.5*Assumptions!$B$32)</f>
        <v>0.7057412929156379</v>
      </c>
      <c r="H14" s="21">
        <f>1/(1+Assumptions!$B$26)^(7-0.5*Assumptions!$B$32)</f>
        <v>0.6624094720540514</v>
      </c>
      <c r="I14" s="21">
        <f>1/(1+Assumptions!$B$26)^(8-0.5*Assumptions!$B$32)</f>
        <v>0.6217381823503109</v>
      </c>
      <c r="J14" s="21">
        <f>1/(1+Assumptions!$B$26)^(9-0.5*Assumptions!$B$32)</f>
        <v>0.5835640698095664</v>
      </c>
      <c r="K14" s="21">
        <f>1/(1+Assumptions!$B$26)^(10-0.5*Assumptions!$B$32)</f>
        <v>0.547733810211494</v>
      </c>
    </row>
    <row r="15" spans="1:11" x14ac:dyDescent="0.25">
      <c r="A15" s="19" t="s">
        <v>58</v>
      </c>
      <c r="B15" s="20">
        <f>B13*B14</f>
        <v>1200592292.6974964</v>
      </c>
      <c r="C15" s="20">
        <f>C13*C14</f>
        <v>1314547986.2771788</v>
      </c>
      <c r="D15" s="20">
        <f>D13*D14</f>
        <v>1176662335.2139416</v>
      </c>
      <c r="E15" s="20">
        <f>E13*E14</f>
        <v>1056895236.4082966</v>
      </c>
      <c r="F15" s="20">
        <f>F13*F14</f>
        <v>952487174.3874007</v>
      </c>
      <c r="G15" s="20">
        <f>G13*G14</f>
        <v>861132796.9582154</v>
      </c>
      <c r="H15" s="20">
        <f>H13*H14</f>
        <v>780899014.1567454</v>
      </c>
      <c r="I15" s="20">
        <f>I13*I14</f>
        <v>710158620.5084717</v>
      </c>
      <c r="J15" s="20">
        <f>J13*J14</f>
        <v>647536300.3812534</v>
      </c>
      <c r="K15" s="20">
        <f>K13*K14</f>
        <v>591864535.6103226</v>
      </c>
    </row>
    <row r="17" spans="1:2" x14ac:dyDescent="0.25">
      <c r="A17" s="22" t="s">
        <v>59</v>
      </c>
      <c r="B17" s="23">
        <f>SUM(B15:K15)</f>
        <v>9292776292.599323</v>
      </c>
    </row>
    <row r="19" spans="1:11" x14ac:dyDescent="0.25">
      <c r="A19" t="s">
        <v>7</v>
      </c>
      <c r="B19" s="9">
        <f>Assumptions!$B$10+($B$20-Assumptions!$B$10)*0/9</f>
        <v>0.02782041534908617</v>
      </c>
      <c r="C19" s="9">
        <f>Assumptions!$B$10+($B$20-Assumptions!$B$10)*1/9</f>
        <v>0.02831789863371045</v>
      </c>
      <c r="D19" s="9">
        <f>Assumptions!$B$10+($B$20-Assumptions!$B$10)*2/9</f>
        <v>0.02881538191833473</v>
      </c>
      <c r="E19" s="9">
        <f>Assumptions!$B$10+($B$20-Assumptions!$B$10)*3/9</f>
        <v>0.029312865202959008</v>
      </c>
      <c r="F19" s="9">
        <f>Assumptions!$B$10+($B$20-Assumptions!$B$10)*4/9</f>
        <v>0.029810348487583287</v>
      </c>
      <c r="G19" s="9">
        <f>Assumptions!$B$10+($B$20-Assumptions!$B$10)*5/9</f>
        <v>0.03030783177220757</v>
      </c>
      <c r="H19" s="9">
        <f>Assumptions!$B$10+($B$20-Assumptions!$B$10)*6/9</f>
        <v>0.030805315056831848</v>
      </c>
      <c r="I19" s="9">
        <f>Assumptions!$B$10+($B$20-Assumptions!$B$10)*7/9</f>
        <v>0.03130279834145613</v>
      </c>
      <c r="J19" s="9">
        <f>Assumptions!$B$10+($B$20-Assumptions!$B$10)*8/9</f>
        <v>0.0318002816260804</v>
      </c>
      <c r="K19" s="9">
        <f>Assumptions!$B$10+($B$20-Assumptions!$B$10)*9/9</f>
        <v>0.032297764910704685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0.032297764910704685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1080569657.333712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1889782929.4862823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0.3821726498466127</v>
      </c>
    </row>
    <row r="7" spans="1:2" x14ac:dyDescent="0.25">
      <c r="A7" t="s">
        <v>66</v>
      </c>
      <c r="B7" s="18">
        <f>-MAX(B5,0)*B6</f>
        <v>-722223349.796667</v>
      </c>
    </row>
    <row r="8" spans="1:2" x14ac:dyDescent="0.25">
      <c r="A8" t="s">
        <v>67</v>
      </c>
      <c r="B8" s="18">
        <f>IF(OR(Assumptions!$B$33=0,Assumptions!B12&lt;=0),B5,MAX(B5+B7,0))</f>
        <v>1167559579.6896152</v>
      </c>
    </row>
    <row r="9" spans="1:2" x14ac:dyDescent="0.25">
      <c r="A9" t="s">
        <v>68</v>
      </c>
      <c r="B9" s="18">
        <f>B8*(1+Assumptions!B12)/(Assumptions!B26-Assumptions!B12)</f>
        <v>29611157341.663338</v>
      </c>
    </row>
    <row r="10" spans="1:2" x14ac:dyDescent="0.25">
      <c r="A10" t="s">
        <v>69</v>
      </c>
      <c r="B10" s="18">
        <f>B9/(1+Assumptions!B26)^(10-0.5*Assumptions!B32)</f>
        <v>16219032035.521315</v>
      </c>
    </row>
    <row r="11" spans="1:2" x14ac:dyDescent="0.25">
      <c r="A11" t="s">
        <v>70</v>
      </c>
      <c r="B11" s="18">
        <f>Forecast!B17+B10</f>
        <v>25511808328.120636</v>
      </c>
    </row>
    <row r="12" spans="1:2" x14ac:dyDescent="0.25">
      <c r="A12" t="s">
        <v>71</v>
      </c>
      <c r="B12" s="18">
        <f>-Assumptions!B30</f>
        <v>-7601000000</v>
      </c>
    </row>
    <row r="13" spans="1:2" x14ac:dyDescent="0.25">
      <c r="A13" t="s">
        <v>72</v>
      </c>
      <c r="B13" s="18">
        <f>B11+B12</f>
        <v>17910808328.120636</v>
      </c>
    </row>
    <row r="14" spans="1:2" x14ac:dyDescent="0.25">
      <c r="A14" s="19" t="s">
        <v>73</v>
      </c>
      <c r="B14" s="24">
        <f>B13/Assumptions!B31</f>
        <v>50.256065624581275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3580486304.616437</v>
      </c>
    </row>
    <row r="18" spans="1:2" x14ac:dyDescent="0.25">
      <c r="A18" t="s">
        <v>68</v>
      </c>
      <c r="B18" s="18">
        <f>B17*Assumptions!B13</f>
        <v>35354757654.26155</v>
      </c>
    </row>
    <row r="19" spans="1:2" x14ac:dyDescent="0.25">
      <c r="A19" t="s">
        <v>69</v>
      </c>
      <c r="B19" s="18">
        <f>B18/(1+Assumptions!B26)^(10-0.5*Assumptions!B32)</f>
        <v>19364996119.072662</v>
      </c>
    </row>
    <row r="20" spans="1:2" x14ac:dyDescent="0.25">
      <c r="A20" t="s">
        <v>70</v>
      </c>
      <c r="B20" s="18">
        <f>Forecast!B17+B19</f>
        <v>28657772411.671986</v>
      </c>
    </row>
    <row r="21" spans="1:2" x14ac:dyDescent="0.25">
      <c r="A21" t="s">
        <v>71</v>
      </c>
      <c r="B21" s="18">
        <f>-Assumptions!B30</f>
        <v>-7601000000</v>
      </c>
    </row>
    <row r="22" spans="1:2" x14ac:dyDescent="0.25">
      <c r="A22" t="s">
        <v>72</v>
      </c>
      <c r="B22" s="18">
        <f>B20+B21</f>
        <v>21056772411.671986</v>
      </c>
    </row>
    <row r="23" spans="1:2" x14ac:dyDescent="0.25">
      <c r="A23" s="19" t="s">
        <v>73</v>
      </c>
      <c r="B23" s="25">
        <f>B22/Assumptions!B31</f>
        <v>59.08334882359265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57.04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50.256065624581275</v>
      </c>
    </row>
    <row r="29" spans="1:2" x14ac:dyDescent="0.25">
      <c r="A29" s="19" t="s">
        <v>81</v>
      </c>
      <c r="B29" s="11">
        <f>B28/B26-1</f>
        <v>-0.11893293084534928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0.045415</v>
      </c>
      <c r="B5" s="31">
        <v>85.67950392284241</v>
      </c>
      <c r="C5" s="31">
        <v>83.99405456336491</v>
      </c>
      <c r="D5" s="31">
        <v>82.30860520388744</v>
      </c>
      <c r="E5" s="31">
        <v>80.62315584440995</v>
      </c>
      <c r="F5" s="31">
        <v>78.93770648493246</v>
      </c>
    </row>
    <row r="6" spans="1:6" x14ac:dyDescent="0.25">
      <c r="A6" s="30">
        <v>0.055415</v>
      </c>
      <c r="B6" s="31">
        <v>65.98009865449313</v>
      </c>
      <c r="C6" s="31">
        <v>64.67553583963151</v>
      </c>
      <c r="D6" s="31">
        <v>63.37097302476988</v>
      </c>
      <c r="E6" s="31">
        <v>62.06641020990825</v>
      </c>
      <c r="F6" s="31">
        <v>60.761847395046615</v>
      </c>
    </row>
    <row r="7" spans="1:6" x14ac:dyDescent="0.25">
      <c r="A7" s="30">
        <v>0.065415</v>
      </c>
      <c r="B7" s="31">
        <v>52.34595079515408</v>
      </c>
      <c r="C7" s="31">
        <v>51.30126382283511</v>
      </c>
      <c r="D7" s="32">
        <v>50.2565768505161</v>
      </c>
      <c r="E7" s="31">
        <v>49.211889878197105</v>
      </c>
      <c r="F7" s="31">
        <v>48.16720290587811</v>
      </c>
    </row>
    <row r="8" spans="1:6" x14ac:dyDescent="0.25">
      <c r="A8" s="30">
        <v>0.075415</v>
      </c>
      <c r="B8" s="31">
        <v>42.36089589933457</v>
      </c>
      <c r="C8" s="31">
        <v>41.503535502304224</v>
      </c>
      <c r="D8" s="31">
        <v>40.646175105273876</v>
      </c>
      <c r="E8" s="31">
        <v>39.78881470824354</v>
      </c>
      <c r="F8" s="31">
        <v>38.93145431121318</v>
      </c>
    </row>
    <row r="9" spans="1:6" x14ac:dyDescent="0.25">
      <c r="A9" s="30">
        <v>0.085415</v>
      </c>
      <c r="B9" s="31">
        <v>34.74057124350568</v>
      </c>
      <c r="C9" s="31">
        <v>34.02372869255992</v>
      </c>
      <c r="D9" s="31">
        <v>33.306886141614186</v>
      </c>
      <c r="E9" s="31">
        <v>32.59004359066844</v>
      </c>
      <c r="F9" s="31">
        <v>31.873201039722677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54441000000</v>
      </c>
      <c r="C5" s="18">
        <v>53309000000</v>
      </c>
      <c r="D5" s="18">
        <v>52881000000</v>
      </c>
      <c r="E5" s="18">
        <v>53282000000</v>
      </c>
      <c r="F5" s="6" t="s">
        <v>91</v>
      </c>
    </row>
    <row r="6" spans="1:6" x14ac:dyDescent="0.25">
      <c r="A6" t="s">
        <v>51</v>
      </c>
      <c r="B6" s="18">
        <v>1441000000</v>
      </c>
      <c r="C6" s="18">
        <v>1409000000</v>
      </c>
      <c r="D6" s="18">
        <v>386000000</v>
      </c>
      <c r="E6" s="18">
        <v>4410000000</v>
      </c>
      <c r="F6" s="6" t="s">
        <v>92</v>
      </c>
    </row>
    <row r="7" spans="1:6" x14ac:dyDescent="0.25">
      <c r="A7" t="s">
        <v>93</v>
      </c>
      <c r="B7" s="18">
        <v>1361000000</v>
      </c>
      <c r="C7" s="18">
        <v>1400000000</v>
      </c>
      <c r="D7" s="18">
        <v>1339000000</v>
      </c>
      <c r="E7" s="18">
        <v>1202000000</v>
      </c>
      <c r="F7" s="6" t="s">
        <v>94</v>
      </c>
    </row>
    <row r="8" spans="1:6" x14ac:dyDescent="0.25">
      <c r="A8" t="s">
        <v>95</v>
      </c>
      <c r="B8" s="18">
        <v>978000000</v>
      </c>
      <c r="C8" s="18">
        <v>1132000000</v>
      </c>
      <c r="D8" s="18">
        <v>1939000000</v>
      </c>
      <c r="E8" s="18">
        <v>1887000000</v>
      </c>
      <c r="F8" s="6" t="s">
        <v>96</v>
      </c>
    </row>
    <row r="9" spans="1:6" x14ac:dyDescent="0.25">
      <c r="A9" t="s">
        <v>97</v>
      </c>
      <c r="B9" s="18">
        <v>106000000</v>
      </c>
      <c r="C9" s="18">
        <v>-224000000</v>
      </c>
      <c r="D9" s="18">
        <v>-187000000</v>
      </c>
      <c r="E9" s="18">
        <v>2104000000</v>
      </c>
      <c r="F9" s="6" t="s">
        <v>98</v>
      </c>
    </row>
    <row r="10" spans="1:6" x14ac:dyDescent="0.25">
      <c r="A10" t="s">
        <v>99</v>
      </c>
      <c r="B10" s="18">
        <v>8830000000</v>
      </c>
      <c r="C10" s="18">
        <v>9787000000</v>
      </c>
      <c r="D10" s="18">
        <v>9506000000</v>
      </c>
      <c r="E10" s="18">
        <v>8321000000</v>
      </c>
      <c r="F10" s="6" t="s">
        <v>100</v>
      </c>
    </row>
    <row r="11" spans="1:6" x14ac:dyDescent="0.25">
      <c r="A11" t="s">
        <v>101</v>
      </c>
      <c r="B11" s="18">
        <v>1229000000</v>
      </c>
      <c r="C11" s="18">
        <v>1717000000</v>
      </c>
      <c r="D11" s="18">
        <v>573000000</v>
      </c>
      <c r="E11" s="18">
        <v>1031000000</v>
      </c>
      <c r="F11" s="6" t="s">
        <v>102</v>
      </c>
    </row>
    <row r="12" spans="1:6" x14ac:dyDescent="0.25">
      <c r="A12" t="s">
        <v>34</v>
      </c>
      <c r="B12" s="34">
        <v>356390977</v>
      </c>
      <c r="C12" s="34">
        <v>355555556</v>
      </c>
      <c r="D12" s="34">
        <v>354000000</v>
      </c>
      <c r="E12" s="34">
        <v>363000000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