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<sst xmlns="http://schemas.openxmlformats.org/spreadsheetml/2006/main" count="120" uniqueCount="107">
  <si>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Trane Technologies plc (TT)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</si>
  <si>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</si>
  <si>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</si>
  <si>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</si>
  <si>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</si>
  <si>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</si>
  <si>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</si>
  <si>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</si>
  <si>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</si>
  <si>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</si>
  <si>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</si>
  <si>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</si>
  <si>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</si>
  <si>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</si>
  <si>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</si>
  <si>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</si>
  <si>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</si>
  <si>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</si>
  <si>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</si>
  <si>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</si>
  <si>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</si>
  <si>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</si>
  <si>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</si>
  <si>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</si>
  <si>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17.5x interest cover. Book interest / average debt was lower, at 4.8%.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</si>
  <si>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</si>
  <si>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</si>
  <si>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</si>
  <si>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</si>
  <si>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</si>
  <si>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</si>
  <si>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</si>
  <si>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</si>
  <si>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</si>
  <si>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</si>
  <si>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</si>
  <si>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</si>
  <si>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</si>
  <si>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</si>
  <si>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</si>
  <si>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</si>
  <si>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</si>
  <si>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</si>
  <si>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</si>
  <si>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</si>
  <si>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</si>
  <si>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</si>
  <si>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</si>
  <si>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</si>
  <si>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</si>
  <si>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</si>
  <si>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</si>
  <si>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</si>
  <si>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</si>
  <si>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</si>
  <si>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</si>
  <si>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</si>
  <si>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</si>
  <si>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</si>
  <si>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</si>
  <si>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</si>
  <si>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</si>
  <si>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</si>
  <si>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</si>
  <si>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</si>
  <si>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</si>
  <si>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</si>
  <si>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</si>
  <si>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</si>
  <si>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</si>
  <si>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</si>
  <si>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</si>
  <si>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</si>
  <si>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</si>
  <si>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</si>
  <si>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</si>
  <si>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</si>
  <si>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</si>
  <si>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</si>
  <si>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</si>
  <si>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</si>
  <si>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</si>
  <si>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</si>
  <si>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</si>
  <si>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</si>
  <si>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</si>
  <si>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</si>
  <si>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</si>
  <si>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</si>
  <si>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</si>
  <si>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</si>
  <si>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</si>
  <si>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</si>
  <si>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</si>
  <si>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</si>
  <si>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</si>
  <si>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</si>
  <si>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</si>
  <si>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</si>
  <si>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</si>
  <si>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</si>
  <si>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</si>
  <si>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</si>
  <si>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</si>
  <si>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</si>
  <si>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21.3x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</si>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</sst>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0.1321437517294426</v>
      </c>
    </row>
    <row r="7" spans="1:2" x14ac:dyDescent="0.25">
      <c r="A7" t="s">
        <v>4</v>
      </c>
      <c r="B7" s="5">
        <v>0.1693684143047519</v>
      </c>
    </row>
    <row r="8" spans="1:2" x14ac:dyDescent="0.25">
      <c r="A8" t="s">
        <v>5</v>
      </c>
      <c r="B8" s="5">
        <v>0.1927449027408944</v>
      </c>
    </row>
    <row r="9" spans="1:2" x14ac:dyDescent="0.25">
      <c r="A9" t="s">
        <v>6</v>
      </c>
      <c r="B9" s="5">
        <v>0.01917508105954256</v>
      </c>
    </row>
    <row r="10" spans="1:3" x14ac:dyDescent="0.25">
      <c r="A10" t="s">
        <v>7</v>
      </c>
      <c r="B10" s="5">
        <v>0.017975268875740552</v>
      </c>
      <c r="C10" s="6" t="s">
        <v>8</v>
      </c>
    </row>
    <row r="11" spans="1:2" x14ac:dyDescent="0.25">
      <c r="A11" t="s">
        <v>9</v>
      </c>
      <c r="B11" s="5">
        <v>0.1585538460156274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0.21473731327654833</v>
      </c>
      <c r="C14" s="6" t="s">
        <v>13</v>
      </c>
    </row>
    <row r="15" spans="1:3" x14ac:dyDescent="0.25">
      <c r="A15" t="s">
        <v>14</v>
      </c>
      <c r="B15" s="5">
        <v>0.01917508105954256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1.10519</v>
      </c>
      <c r="C19" s="6" t="s">
        <v>21</v>
      </c>
    </row>
    <row r="20" spans="1:2" x14ac:dyDescent="0.25">
      <c r="A20" t="s">
        <v>22</v>
      </c>
      <c r="B20" s="9">
        <f>B17+B19*B18</f>
        <v>0.09568953699999999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89747087360</v>
      </c>
    </row>
    <row r="23" spans="1:2" x14ac:dyDescent="0.25">
      <c r="A23" t="s">
        <v>26</v>
      </c>
      <c r="B23" s="10">
        <v>4615100000</v>
      </c>
    </row>
    <row r="24" spans="1:2" x14ac:dyDescent="0.25">
      <c r="A24" t="s">
        <v>27</v>
      </c>
      <c r="B24" s="9">
        <f>B22/(B22+B23)</f>
        <v>0.9510916381962089</v>
      </c>
    </row>
    <row r="25" spans="1:2" x14ac:dyDescent="0.25">
      <c r="A25" t="s">
        <v>28</v>
      </c>
      <c r="B25" s="9">
        <f>1-B24</f>
        <v>0.0489083618037911</v>
      </c>
    </row>
    <row r="26" spans="1:2" x14ac:dyDescent="0.25">
      <c r="A26" t="s">
        <v>29</v>
      </c>
      <c r="B26" s="11">
        <f>B24*B20+B25*B21*(1-B8)</f>
        <v>0.09309967040343411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21321900000</v>
      </c>
      <c r="C29" s="6" t="s">
        <v>32</v>
      </c>
    </row>
    <row r="30" spans="1:2" x14ac:dyDescent="0.25">
      <c r="A30" t="s">
        <v>33</v>
      </c>
      <c r="B30" s="10">
        <v>2851800000</v>
      </c>
    </row>
    <row r="31" spans="1:2" x14ac:dyDescent="0.25">
      <c r="A31" t="s">
        <v>34</v>
      </c>
      <c r="B31" s="12">
        <v>224900000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0.1321437517294426</v>
      </c>
      <c r="C5" s="5">
        <v>0.09884731925353352</v>
      </c>
      <c r="D5" s="5">
        <v>0.08961640434684183</v>
      </c>
      <c r="E5" s="5">
        <v>0.08038548944015014</v>
      </c>
      <c r="F5" s="5">
        <v>0.07115457453345844</v>
      </c>
      <c r="G5" s="5">
        <v>0.061923659626766756</v>
      </c>
      <c r="H5" s="5">
        <v>0.05269274472007507</v>
      </c>
      <c r="I5" s="5">
        <v>0.043461829813383375</v>
      </c>
      <c r="J5" s="5">
        <v>0.03423091490669168</v>
      </c>
      <c r="K5" s="5">
        <v>0.024999999999999994</v>
      </c>
    </row>
    <row r="6" spans="1:11" x14ac:dyDescent="0.25">
      <c r="A6" t="s">
        <v>50</v>
      </c>
      <c r="B6" s="18">
        <f>Assumptions!B29*(1+B5)</f>
        <v>24139455860.000004</v>
      </c>
      <c r="C6" s="18">
        <f>B6*(1+C5)</f>
        <v>26525576360.000004</v>
      </c>
      <c r="D6" s="18">
        <f>C6*(1+D5)</f>
        <v>28902703136.610794</v>
      </c>
      <c r="E6" s="18">
        <f>D6*(1+E5)</f>
        <v>31226061074.390614</v>
      </c>
      <c r="F6" s="18">
        <f>E6*(1+F5)</f>
        <v>33447938164.494667</v>
      </c>
      <c r="G6" s="18">
        <f>F6*(1+G5)</f>
        <v>35519156902.60998</v>
      </c>
      <c r="H6" s="18">
        <f>G6*(1+H5)</f>
        <v>37390758769.9515</v>
      </c>
      <c r="I6" s="18">
        <f>H6*(1+I5)</f>
        <v>39015829564.2044</v>
      </c>
      <c r="J6" s="18">
        <f>I6*(1+J5)</f>
        <v>40351377106.03067</v>
      </c>
      <c r="K6" s="18">
        <f>J6*(1+K5)</f>
        <v>41360161533.681435</v>
      </c>
    </row>
    <row r="7" spans="1:11" x14ac:dyDescent="0.25">
      <c r="A7" t="s">
        <v>4</v>
      </c>
      <c r="B7" s="9">
        <f>Assumptions!B7</f>
        <v>0.1693684143047519</v>
      </c>
      <c r="C7" s="9">
        <f>Assumptions!B7</f>
        <v>0.1693684143047519</v>
      </c>
      <c r="D7" s="9">
        <f>Assumptions!B7</f>
        <v>0.1693684143047519</v>
      </c>
      <c r="E7" s="9">
        <f>Assumptions!B7</f>
        <v>0.1693684143047519</v>
      </c>
      <c r="F7" s="9">
        <f>Assumptions!B7</f>
        <v>0.1693684143047519</v>
      </c>
      <c r="G7" s="9">
        <f>Assumptions!B7</f>
        <v>0.1693684143047519</v>
      </c>
      <c r="H7" s="9">
        <f>Assumptions!B7</f>
        <v>0.1693684143047519</v>
      </c>
      <c r="I7" s="9">
        <f>Assumptions!B7</f>
        <v>0.1693684143047519</v>
      </c>
      <c r="J7" s="9">
        <f>Assumptions!B7</f>
        <v>0.1693684143047519</v>
      </c>
      <c r="K7" s="9">
        <f>Assumptions!B7</f>
        <v>0.1693684143047519</v>
      </c>
    </row>
    <row r="8" spans="1:11" x14ac:dyDescent="0.25">
      <c r="A8" t="s">
        <v>51</v>
      </c>
      <c r="B8" s="18">
        <f>B6*B7</f>
        <v>4088461361.1877522</v>
      </c>
      <c r="C8" s="18">
        <f>C6*C7</f>
        <v>4492594806.612814</v>
      </c>
      <c r="D8" s="18">
        <f>D6*D7</f>
        <v>4895204999.36875</v>
      </c>
      <c r="E8" s="18">
        <f>E6*E7</f>
        <v>5288708449.152876</v>
      </c>
      <c r="F8" s="18">
        <f>F6*F7</f>
        <v>5665024248.683856</v>
      </c>
      <c r="G8" s="18">
        <f>G6*G7</f>
        <v>6015823282.036736</v>
      </c>
      <c r="H8" s="18">
        <f>H6*H7</f>
        <v>6332813522.518182</v>
      </c>
      <c r="I8" s="18">
        <f>I6*I7</f>
        <v>6608049186.073759</v>
      </c>
      <c r="J8" s="18">
        <f>J6*J7</f>
        <v>6834248755.461484</v>
      </c>
      <c r="K8" s="18">
        <f>K6*K7</f>
        <v>7005104974.348021</v>
      </c>
    </row>
    <row r="9" spans="1:11" x14ac:dyDescent="0.25">
      <c r="A9" t="s">
        <v>52</v>
      </c>
      <c r="B9" s="18">
        <f>B8*(1-Assumptions!B8)</f>
        <v>3300431273.765714</v>
      </c>
      <c r="C9" s="18">
        <f>C8*(1-Assumptions!B8)</f>
        <v>3626670057.55798</v>
      </c>
      <c r="D9" s="18">
        <f>D8*(1-Assumptions!B8)</f>
        <v>3951679187.86868</v>
      </c>
      <c r="E9" s="18">
        <f>E8*(1-Assumptions!B8)</f>
        <v>4269336853.4959583</v>
      </c>
      <c r="F9" s="18">
        <f>F8*(1-Assumptions!B8)</f>
        <v>4573119700.8464775</v>
      </c>
      <c r="G9" s="18">
        <f>G8*(1-Assumptions!B8)</f>
        <v>4856304008.634157</v>
      </c>
      <c r="H9" s="18">
        <f>H8*(1-Assumptions!B8)</f>
        <v>5112195996.044194</v>
      </c>
      <c r="I9" s="18">
        <f>I8*(1-Assumptions!B8)</f>
        <v>5334381388.396926</v>
      </c>
      <c r="J9" s="18">
        <f>J8*(1-Assumptions!B8)</f>
        <v>5516982143.782982</v>
      </c>
      <c r="K9" s="18">
        <f>K8*(1-Assumptions!B8)</f>
        <v>5654906697.377556</v>
      </c>
    </row>
    <row r="10" spans="1:11" x14ac:dyDescent="0.25">
      <c r="A10" t="s">
        <v>53</v>
      </c>
      <c r="B10" s="18">
        <f>B6*Assumptions!B9</f>
        <v>462876022.8487497</v>
      </c>
      <c r="C10" s="18">
        <f>C6*Assumptions!B9</f>
        <v>508630076.8540859</v>
      </c>
      <c r="D10" s="18">
        <f>D6*Assumptions!B9</f>
        <v>554211675.484407</v>
      </c>
      <c r="E10" s="18">
        <f>E6*Assumptions!B9</f>
        <v>598762252.2716666</v>
      </c>
      <c r="F10" s="18">
        <f>F6*Assumptions!B9</f>
        <v>641366925.5787524</v>
      </c>
      <c r="G10" s="18">
        <f>G6*Assumptions!B9</f>
        <v>681082712.7741569</v>
      </c>
      <c r="H10" s="18">
        <f>H6*Assumptions!B9</f>
        <v>716970830.2916218</v>
      </c>
      <c r="I10" s="18">
        <f>I6*Assumptions!B9</f>
        <v>748131694.4989164</v>
      </c>
      <c r="J10" s="18">
        <f>J6*Assumptions!B9</f>
        <v>773740926.8723079</v>
      </c>
      <c r="K10" s="18">
        <f>K6*Assumptions!B9</f>
        <v>793084450.0441155</v>
      </c>
    </row>
    <row r="11" spans="1:11" x14ac:dyDescent="0.25">
      <c r="A11" t="s">
        <v>54</v>
      </c>
      <c r="B11" s="18">
        <f>-B6*B19</f>
        <v>-433913209.59757096</v>
      </c>
      <c r="C11" s="18">
        <f>-C6*C19</f>
        <v>-527254078.2954114</v>
      </c>
      <c r="D11" s="18">
        <f>-D6*D19</f>
        <v>-629475525.8226199</v>
      </c>
      <c r="E11" s="18">
        <f>-E6*E19</f>
        <v>-739465914.213467</v>
      </c>
      <c r="F11" s="18">
        <f>-F6*F19</f>
        <v>-855697835.0131162</v>
      </c>
      <c r="G11" s="18">
        <f>-G6*G19</f>
        <v>-976240621.7237798</v>
      </c>
      <c r="H11" s="18">
        <f>-H6*H19</f>
        <v>-1098795915.0359995</v>
      </c>
      <c r="I11" s="18">
        <f>-I6*I19</f>
        <v>-1220756857.6396503</v>
      </c>
      <c r="J11" s="18">
        <f>-J6*J19</f>
        <v>-1339289857.293555</v>
      </c>
      <c r="K11" s="18">
        <f>-K6*K19</f>
        <v>-1451436113.6526325</v>
      </c>
    </row>
    <row r="12" spans="1:11" x14ac:dyDescent="0.25">
      <c r="A12" t="s">
        <v>55</v>
      </c>
      <c r="B12" s="18">
        <f>-(B6-Assumptions!B29)*Assumptions!B11</f>
        <v>-446734317.9668692</v>
      </c>
      <c r="C12" s="18">
        <f>-(C6-B6)*Assumptions!B11</f>
        <v>-378328582.33173186</v>
      </c>
      <c r="D12" s="18">
        <f>-(D6-C6)*Assumptions!B11</f>
        <v>-376902592.89837193</v>
      </c>
      <c r="E12" s="18">
        <f>-(E6-D6)*Assumptions!B11</f>
        <v>-368377336.7059271</v>
      </c>
      <c r="F12" s="18">
        <f>-(F6-E6)*Assumptions!B11</f>
        <v>-352287158.01000834</v>
      </c>
      <c r="G12" s="18">
        <f>-(G6-F6)*Assumptions!B11</f>
        <v>-328399696.86781704</v>
      </c>
      <c r="H12" s="18">
        <f>-(H6-G6)*Assumptions!B11</f>
        <v>-296749674.2770284</v>
      </c>
      <c r="I12" s="18">
        <f>-(I6-H6)*Assumptions!B11</f>
        <v>-257661224.47646746</v>
      </c>
      <c r="J12" s="18">
        <f>-(J6-I6)*Assumptions!B11</f>
        <v>-211756199.29327226</v>
      </c>
      <c r="K12" s="18">
        <f>-(K6-J6)*Assumptions!B11</f>
        <v>-159946650.8047021</v>
      </c>
    </row>
    <row r="13" spans="1:11" x14ac:dyDescent="0.25">
      <c r="A13" s="19" t="s">
        <v>56</v>
      </c>
      <c r="B13" s="20">
        <f>B9+B10+B11+B12</f>
        <v>2882659769.0500236</v>
      </c>
      <c r="C13" s="20">
        <f>C9+C10+C11+C12</f>
        <v>3229717473.7849226</v>
      </c>
      <c r="D13" s="20">
        <f>D9+D10+D11+D12</f>
        <v>3499512744.6320944</v>
      </c>
      <c r="E13" s="20">
        <f>E9+E10+E11+E12</f>
        <v>3760255854.848231</v>
      </c>
      <c r="F13" s="20">
        <f>F9+F10+F11+F12</f>
        <v>4006501633.402106</v>
      </c>
      <c r="G13" s="20">
        <f>G9+G10+G11+G12</f>
        <v>4232746402.816717</v>
      </c>
      <c r="H13" s="20">
        <f>H9+H10+H11+H12</f>
        <v>4433621237.022789</v>
      </c>
      <c r="I13" s="20">
        <f>I9+I10+I11+I12</f>
        <v>4604095000.779725</v>
      </c>
      <c r="J13" s="20">
        <f>J9+J10+J11+J12</f>
        <v>4739677014.068462</v>
      </c>
      <c r="K13" s="20">
        <f>K9+K10+K11+K12</f>
        <v>4836608382.964336</v>
      </c>
    </row>
    <row r="14" spans="1:11" x14ac:dyDescent="0.25">
      <c r="A14" t="s">
        <v>57</v>
      </c>
      <c r="B14" s="21">
        <f>1/(1+Assumptions!$B$26)^(1-0.5*Assumptions!$B$32)</f>
        <v>0.9564672812822679</v>
      </c>
      <c r="C14" s="21">
        <f>1/(1+Assumptions!$B$26)^(2-0.5*Assumptions!$B$32)</f>
        <v>0.8750046378929575</v>
      </c>
      <c r="D14" s="21">
        <f>1/(1+Assumptions!$B$26)^(3-0.5*Assumptions!$B$32)</f>
        <v>0.8004801955250946</v>
      </c>
      <c r="E14" s="21">
        <f>1/(1+Assumptions!$B$26)^(4-0.5*Assumptions!$B$32)</f>
        <v>0.7323030252398288</v>
      </c>
      <c r="F14" s="21">
        <f>1/(1+Assumptions!$B$26)^(5-0.5*Assumptions!$B$32)</f>
        <v>0.6699325277168505</v>
      </c>
      <c r="G14" s="21">
        <f>1/(1+Assumptions!$B$26)^(6-0.5*Assumptions!$B$32)</f>
        <v>0.6128741466636763</v>
      </c>
      <c r="H14" s="21">
        <f>1/(1+Assumptions!$B$26)^(7-0.5*Assumptions!$B$32)</f>
        <v>0.5606754473153218</v>
      </c>
      <c r="I14" s="21">
        <f>1/(1+Assumptions!$B$26)^(8-0.5*Assumptions!$B$32)</f>
        <v>0.5129225289294903</v>
      </c>
      <c r="J14" s="21">
        <f>1/(1+Assumptions!$B$26)^(9-0.5*Assumptions!$B$32)</f>
        <v>0.4692367428307651</v>
      </c>
      <c r="K14" s="21">
        <f>1/(1+Assumptions!$B$26)^(10-0.5*Assumptions!$B$32)</f>
        <v>0.4292716899800933</v>
      </c>
    </row>
    <row r="15" spans="1:11" x14ac:dyDescent="0.25">
      <c r="A15" s="19" t="s">
        <v>58</v>
      </c>
      <c r="B15" s="20">
        <f>B13*B14</f>
        <v>2757169752.165046</v>
      </c>
      <c r="C15" s="20">
        <f>C13*C14</f>
        <v>2826017768.6457334</v>
      </c>
      <c r="D15" s="20">
        <f>D13*D14</f>
        <v>2801290646.0656595</v>
      </c>
      <c r="E15" s="20">
        <f>E13*E14</f>
        <v>2753646738.181138</v>
      </c>
      <c r="F15" s="20">
        <f>F13*F14</f>
        <v>2684085766.566763</v>
      </c>
      <c r="G15" s="20">
        <f>G13*G14</f>
        <v>2594140839.670041</v>
      </c>
      <c r="H15" s="20">
        <f>H13*H14</f>
        <v>2485822570.2944627</v>
      </c>
      <c r="I15" s="20">
        <f>I13*I14</f>
        <v>2361544051.23156</v>
      </c>
      <c r="J15" s="20">
        <f>J13*J14</f>
        <v>2224030604.151332</v>
      </c>
      <c r="K15" s="20">
        <f>K13*K14</f>
        <v>2076219054.326987</v>
      </c>
    </row>
    <row r="17" spans="1:2" x14ac:dyDescent="0.25">
      <c r="A17" s="22" t="s">
        <v>59</v>
      </c>
      <c r="B17" s="23">
        <f>SUM(B15:K15)</f>
        <v>25563967791.298725</v>
      </c>
    </row>
    <row r="19" spans="1:11" x14ac:dyDescent="0.25">
      <c r="A19" t="s">
        <v>7</v>
      </c>
      <c r="B19" s="9">
        <f>Assumptions!$B$10+($B$20-Assumptions!$B$10)*0/9</f>
        <v>0.017975268875740552</v>
      </c>
      <c r="C19" s="9">
        <f>Assumptions!$B$10+($B$20-Assumptions!$B$10)*1/9</f>
        <v>0.01987719592364821</v>
      </c>
      <c r="D19" s="9">
        <f>Assumptions!$B$10+($B$20-Assumptions!$B$10)*2/9</f>
        <v>0.021779122971555865</v>
      </c>
      <c r="E19" s="9">
        <f>Assumptions!$B$10+($B$20-Assumptions!$B$10)*3/9</f>
        <v>0.023681050019463523</v>
      </c>
      <c r="F19" s="9">
        <f>Assumptions!$B$10+($B$20-Assumptions!$B$10)*4/9</f>
        <v>0.025582977067371178</v>
      </c>
      <c r="G19" s="9">
        <f>Assumptions!$B$10+($B$20-Assumptions!$B$10)*5/9</f>
        <v>0.02748490411527884</v>
      </c>
      <c r="H19" s="9">
        <f>Assumptions!$B$10+($B$20-Assumptions!$B$10)*6/9</f>
        <v>0.029386831163186494</v>
      </c>
      <c r="I19" s="9">
        <f>Assumptions!$B$10+($B$20-Assumptions!$B$10)*7/9</f>
        <v>0.03128875821109415</v>
      </c>
      <c r="J19" s="9">
        <f>Assumptions!$B$10+($B$20-Assumptions!$B$10)*8/9</f>
        <v>0.033190685259001804</v>
      </c>
      <c r="K19" s="9">
        <f>Assumptions!$B$10+($B$20-Assumptions!$B$10)*9/9</f>
        <v>0.035092612306909465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0.035092612306909465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4836608382.964336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5654906697.377556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0.11642131317813352</v>
      </c>
    </row>
    <row r="7" spans="1:2" x14ac:dyDescent="0.25">
      <c r="A7" t="s">
        <v>66</v>
      </c>
      <c r="B7" s="18">
        <f>-MAX(B5,0)*B6</f>
        <v>-658351663.6085172</v>
      </c>
    </row>
    <row r="8" spans="1:2" x14ac:dyDescent="0.25">
      <c r="A8" t="s">
        <v>67</v>
      </c>
      <c r="B8" s="18">
        <f>IF(OR(Assumptions!$B$33=0,Assumptions!B12&lt;=0),B5,MAX(B5+B7,0))</f>
        <v>4996555033.769039</v>
      </c>
    </row>
    <row r="9" spans="1:2" x14ac:dyDescent="0.25">
      <c r="A9" t="s">
        <v>68</v>
      </c>
      <c r="B9" s="18">
        <f>B8*(1+Assumptions!B12)/(Assumptions!B26-Assumptions!B12)</f>
        <v>75205487475.53116</v>
      </c>
    </row>
    <row r="10" spans="1:2" x14ac:dyDescent="0.25">
      <c r="A10" t="s">
        <v>69</v>
      </c>
      <c r="B10" s="18">
        <f>B9/(1+Assumptions!B26)^(10-0.5*Assumptions!B32)</f>
        <v>32283586704.398</v>
      </c>
    </row>
    <row r="11" spans="1:2" x14ac:dyDescent="0.25">
      <c r="A11" t="s">
        <v>70</v>
      </c>
      <c r="B11" s="18">
        <f>Forecast!B17+B10</f>
        <v>57847554495.696724</v>
      </c>
    </row>
    <row r="12" spans="1:2" x14ac:dyDescent="0.25">
      <c r="A12" t="s">
        <v>71</v>
      </c>
      <c r="B12" s="18">
        <f>-Assumptions!B30</f>
        <v>-2851800000</v>
      </c>
    </row>
    <row r="13" spans="1:2" x14ac:dyDescent="0.25">
      <c r="A13" t="s">
        <v>72</v>
      </c>
      <c r="B13" s="18">
        <f>B11+B12</f>
        <v>54995754495.696724</v>
      </c>
    </row>
    <row r="14" spans="1:2" x14ac:dyDescent="0.25">
      <c r="A14" s="19" t="s">
        <v>73</v>
      </c>
      <c r="B14" s="24">
        <f>B13/Assumptions!B31</f>
        <v>244.53425742862038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7798189424.392136</v>
      </c>
    </row>
    <row r="18" spans="1:2" x14ac:dyDescent="0.25">
      <c r="A18" t="s">
        <v>68</v>
      </c>
      <c r="B18" s="18">
        <f>B17*Assumptions!B13</f>
        <v>155963788487.8427</v>
      </c>
    </row>
    <row r="19" spans="1:2" x14ac:dyDescent="0.25">
      <c r="A19" t="s">
        <v>69</v>
      </c>
      <c r="B19" s="18">
        <f>B18/(1+Assumptions!B26)^(10-0.5*Assumptions!B32)</f>
        <v>66950839059.87406</v>
      </c>
    </row>
    <row r="20" spans="1:2" x14ac:dyDescent="0.25">
      <c r="A20" t="s">
        <v>70</v>
      </c>
      <c r="B20" s="18">
        <f>Forecast!B17+B19</f>
        <v>92514806851.17279</v>
      </c>
    </row>
    <row r="21" spans="1:2" x14ac:dyDescent="0.25">
      <c r="A21" t="s">
        <v>71</v>
      </c>
      <c r="B21" s="18">
        <f>-Assumptions!B30</f>
        <v>-2851800000</v>
      </c>
    </row>
    <row r="22" spans="1:2" x14ac:dyDescent="0.25">
      <c r="A22" t="s">
        <v>72</v>
      </c>
      <c r="B22" s="18">
        <f>B20+B21</f>
        <v>89663006851.17279</v>
      </c>
    </row>
    <row r="23" spans="1:2" x14ac:dyDescent="0.25">
      <c r="A23" s="19" t="s">
        <v>73</v>
      </c>
      <c r="B23" s="25">
        <f>B22/Assumptions!B31</f>
        <v>398.6794435356727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410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244.53425742862038</v>
      </c>
    </row>
    <row r="29" spans="1:2" x14ac:dyDescent="0.25">
      <c r="A29" s="19" t="s">
        <v>81</v>
      </c>
      <c r="B29" s="11">
        <f>B28/B26-1</f>
        <v>-0.4035749818814137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0.0731</v>
      </c>
      <c r="B5" s="31">
        <v>323.8232199016205</v>
      </c>
      <c r="C5" s="31">
        <v>337.2526920407803</v>
      </c>
      <c r="D5" s="31">
        <v>353.7499057498476</v>
      </c>
      <c r="E5" s="31">
        <v>374.3825205079083</v>
      </c>
      <c r="F5" s="31">
        <v>400.7786469641728</v>
      </c>
    </row>
    <row r="6" spans="1:6" x14ac:dyDescent="0.25">
      <c r="A6" s="30">
        <v>0.0831</v>
      </c>
      <c r="B6" s="31">
        <v>272.42968448046753</v>
      </c>
      <c r="C6" s="31">
        <v>280.27565395384624</v>
      </c>
      <c r="D6" s="31">
        <v>289.68780517773325</v>
      </c>
      <c r="E6" s="31">
        <v>301.10856237543595</v>
      </c>
      <c r="F6" s="31">
        <v>315.1643099462733</v>
      </c>
    </row>
    <row r="7" spans="1:6" x14ac:dyDescent="0.25">
      <c r="A7" s="30">
        <v>0.0931</v>
      </c>
      <c r="B7" s="31">
        <v>234.33872152423544</v>
      </c>
      <c r="C7" s="31">
        <v>239.00611048305282</v>
      </c>
      <c r="D7" s="32">
        <v>244.53298913315803</v>
      </c>
      <c r="E7" s="31">
        <v>251.12367356598227</v>
      </c>
      <c r="F7" s="31">
        <v>259.05281243455124</v>
      </c>
    </row>
    <row r="8" spans="1:6" x14ac:dyDescent="0.25">
      <c r="A8" s="30">
        <v>0.1031</v>
      </c>
      <c r="B8" s="31">
        <v>205.0108920831794</v>
      </c>
      <c r="C8" s="31">
        <v>207.7654368268427</v>
      </c>
      <c r="D8" s="31">
        <v>211.01640625500386</v>
      </c>
      <c r="E8" s="31">
        <v>214.86566589799762</v>
      </c>
      <c r="F8" s="31">
        <v>219.44499774146985</v>
      </c>
    </row>
    <row r="9" spans="1:6" x14ac:dyDescent="0.25">
      <c r="A9" s="30">
        <v>0.1131</v>
      </c>
      <c r="B9" s="31">
        <v>181.75847054599544</v>
      </c>
      <c r="C9" s="31">
        <v>183.3154499153906</v>
      </c>
      <c r="D9" s="31">
        <v>185.1698810178387</v>
      </c>
      <c r="E9" s="31">
        <v>187.37545550190524</v>
      </c>
      <c r="F9" s="31">
        <v>189.9996144780163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21321900000</v>
      </c>
      <c r="C5" s="18">
        <v>19838200000</v>
      </c>
      <c r="D5" s="18">
        <v>17677600000</v>
      </c>
      <c r="E5" s="18">
        <v>15991700000</v>
      </c>
      <c r="F5" s="6" t="s">
        <v>91</v>
      </c>
    </row>
    <row r="6" spans="1:6" x14ac:dyDescent="0.25">
      <c r="A6" t="s">
        <v>51</v>
      </c>
      <c r="B6" s="18">
        <v>3967400000</v>
      </c>
      <c r="C6" s="18">
        <v>3500100000</v>
      </c>
      <c r="D6" s="18">
        <v>2894000000</v>
      </c>
      <c r="E6" s="18">
        <v>2418900000</v>
      </c>
      <c r="F6" s="6" t="s">
        <v>92</v>
      </c>
    </row>
    <row r="7" spans="1:6" x14ac:dyDescent="0.25">
      <c r="A7" t="s">
        <v>93</v>
      </c>
      <c r="B7" s="18">
        <v>376300000</v>
      </c>
      <c r="C7" s="18">
        <v>379400000</v>
      </c>
      <c r="D7" s="18">
        <v>348100000</v>
      </c>
      <c r="E7" s="18">
        <v>323600000</v>
      </c>
      <c r="F7" s="6" t="s">
        <v>94</v>
      </c>
    </row>
    <row r="8" spans="1:6" x14ac:dyDescent="0.25">
      <c r="A8" t="s">
        <v>95</v>
      </c>
      <c r="B8" s="18">
        <v>383000000</v>
      </c>
      <c r="C8" s="18">
        <v>370600000</v>
      </c>
      <c r="D8" s="18">
        <v>300700000</v>
      </c>
      <c r="E8" s="18">
        <v>291800000</v>
      </c>
      <c r="F8" s="6" t="s">
        <v>96</v>
      </c>
    </row>
    <row r="9" spans="1:6" x14ac:dyDescent="0.25">
      <c r="A9" t="s">
        <v>97</v>
      </c>
      <c r="B9" s="18">
        <v>281600000</v>
      </c>
      <c r="C9" s="18">
        <v>-238900000</v>
      </c>
      <c r="D9" s="18">
        <v>72800000</v>
      </c>
      <c r="E9" s="18">
        <v>550100000</v>
      </c>
      <c r="F9" s="6" t="s">
        <v>98</v>
      </c>
    </row>
    <row r="10" spans="1:6" x14ac:dyDescent="0.25">
      <c r="A10" t="s">
        <v>99</v>
      </c>
      <c r="B10" s="18">
        <v>4615100000</v>
      </c>
      <c r="C10" s="18">
        <v>4770300000</v>
      </c>
      <c r="D10" s="18">
        <v>4779800000</v>
      </c>
      <c r="E10" s="18">
        <v>4836300000</v>
      </c>
      <c r="F10" s="6" t="s">
        <v>100</v>
      </c>
    </row>
    <row r="11" spans="1:6" x14ac:dyDescent="0.25">
      <c r="A11" t="s">
        <v>101</v>
      </c>
      <c r="B11" s="18">
        <v>1763300000</v>
      </c>
      <c r="C11" s="18">
        <v>1590100000</v>
      </c>
      <c r="D11" s="18">
        <v>1095300000</v>
      </c>
      <c r="E11" s="18">
        <v>1220500000</v>
      </c>
      <c r="F11" s="6" t="s">
        <v>102</v>
      </c>
    </row>
    <row r="12" spans="1:6" x14ac:dyDescent="0.25">
      <c r="A12" t="s">
        <v>34</v>
      </c>
      <c r="B12" s="34">
        <v>224900000</v>
      </c>
      <c r="C12" s="34">
        <v>228400000</v>
      </c>
      <c r="D12" s="34">
        <v>230700000</v>
      </c>
      <c r="E12" s="34">
        <v>234900000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