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<sst xmlns="http://schemas.openxmlformats.org/spreadsheetml/2006/main" count="112" uniqueCount="100">
  <si>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Trane Technologies plc (TT)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</si>
  <si>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</si>
  <si>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</si>
  <si>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</si>
  <si>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</si>
  <si>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</si>
  <si>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</si>
  <si>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</si>
  <si>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</si>
  <si>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</si>
  <si>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</si>
  <si>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</si>
  <si>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</si>
  <si>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</si>
  <si>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</si>
  <si>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</si>
  <si>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</si>
  <si>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</si>
  <si>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</si>
  <si>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</si>
  <si>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</si>
  <si>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</si>
  <si>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</si>
  <si>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</si>
  <si>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</si>
  <si>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</si>
  <si>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</si>
  <si>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</si>
  <si>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</si>
  <si>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</si>
  <si>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</si>
  <si>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</si>
  <si>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</si>
  <si>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</si>
  <si>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</si>
  <si>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</si>
  <si>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</si>
  <si>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</si>
  <si>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</si>
  <si>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</si>
  <si>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</si>
  <si>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</si>
  <si>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</si>
  <si>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</si>
  <si>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</si>
  <si>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</si>
  <si>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</si>
  <si>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</si>
  <si>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</si>
  <si>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</si>
  <si>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</si>
  <si>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</si>
  <si>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</si>
  <si>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</si>
  <si>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</si>
  <si>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</si>
  <si>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</si>
  <si>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</si>
  <si>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</si>
  <si>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</si>
  <si>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</si>
  <si>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</si>
  <si>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</si>
  <si>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</si>
  <si>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</si>
  <si>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</si>
  <si>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</si>
  <si>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</si>
  <si>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</si>
  <si>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</si>
  <si>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</si>
  <si>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</si>
  <si>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</si>
  <si>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</si>
  <si>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</si>
  <si>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</si>
  <si>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</si>
  <si>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</si>
  <si>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</si>
  <si>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</si>
  <si>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</si>
  <si>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</si>
  <si>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</si>
  <si>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</si>
  <si>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</si>
  <si>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</si>
  <si>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</si>
  <si>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</si>
  <si>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</si>
  <si>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</si>
  <si>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</si>
  <si>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</si>
  <si>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</si>
  <si>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</si>
  <si>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</si>
  <si>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</si>
  <si>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</si>
  <si>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</si>
  <si>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22.4x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</si>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</sst>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0.10063610722538807</v>
      </c>
    </row>
    <row r="7" spans="1:2" x14ac:dyDescent="0.25">
      <c r="A7" t="s">
        <v>5</v>
      </c>
      <c r="B7" s="6">
        <v>0.1693684143047519</v>
      </c>
    </row>
    <row r="8" spans="1:2" x14ac:dyDescent="0.25">
      <c r="A8" t="s">
        <v>6</v>
      </c>
      <c r="B8" s="6">
        <v>0.1927449027408944</v>
      </c>
    </row>
    <row r="9" spans="1:2" x14ac:dyDescent="0.25">
      <c r="A9" t="s">
        <v>7</v>
      </c>
      <c r="B9" s="6">
        <v>0.01917508105954256</v>
      </c>
    </row>
    <row r="10" spans="1:2" x14ac:dyDescent="0.25">
      <c r="A10" t="s">
        <v>8</v>
      </c>
      <c r="B10" s="6">
        <v>0.017975268875740552</v>
      </c>
    </row>
    <row r="11" spans="1:2" x14ac:dyDescent="0.25">
      <c r="A11" t="s">
        <v>9</v>
      </c>
      <c r="B11" s="6">
        <v>0.04318168337386559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0.21473731327654833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1.13199</v>
      </c>
      <c r="C19" s="8" t="s">
        <v>19</v>
      </c>
    </row>
    <row r="20" spans="1:2" x14ac:dyDescent="0.25">
      <c r="A20" t="s">
        <v>20</v>
      </c>
      <c r="B20" s="10">
        <f>B17+B19*B18</f>
        <v>0.11223945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94414143488</v>
      </c>
    </row>
    <row r="23" spans="1:2" x14ac:dyDescent="0.25">
      <c r="A23" t="s">
        <v>24</v>
      </c>
      <c r="B23" s="11">
        <v>4615100000</v>
      </c>
    </row>
    <row r="24" spans="1:2" x14ac:dyDescent="0.25">
      <c r="A24" t="s">
        <v>25</v>
      </c>
      <c r="B24" s="10">
        <f>B22/(B22+B23)</f>
        <v>0.9533965944053764</v>
      </c>
    </row>
    <row r="25" spans="1:2" x14ac:dyDescent="0.25">
      <c r="A25" t="s">
        <v>26</v>
      </c>
      <c r="B25" s="10">
        <f>1-B24</f>
        <v>0.046603405594623615</v>
      </c>
    </row>
    <row r="26" spans="1:2" x14ac:dyDescent="0.25">
      <c r="A26" t="s">
        <v>27</v>
      </c>
      <c r="B26" s="12">
        <f>B24*B20+B25*B21*(1-B8)</f>
        <v>0.10888899880699288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21321900000</v>
      </c>
      <c r="C29" s="8" t="s">
        <v>30</v>
      </c>
    </row>
    <row r="30" spans="1:2" x14ac:dyDescent="0.25">
      <c r="A30" t="s">
        <v>31</v>
      </c>
      <c r="B30" s="11">
        <v>2851800000</v>
      </c>
    </row>
    <row r="31" spans="1:2" x14ac:dyDescent="0.25">
      <c r="A31" t="s">
        <v>32</v>
      </c>
      <c r="B31" s="13">
        <v>224900000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0.10063610722538807</v>
      </c>
      <c r="C5" s="10">
        <f>Assumptions!B6</f>
        <v>0.10063610722538807</v>
      </c>
      <c r="D5" s="10">
        <f>Assumptions!B6</f>
        <v>0.10063610722538807</v>
      </c>
      <c r="E5" s="10">
        <f>Assumptions!B6</f>
        <v>0.10063610722538807</v>
      </c>
      <c r="F5" s="10">
        <f>Assumptions!B6</f>
        <v>0.10063610722538807</v>
      </c>
    </row>
    <row r="6" spans="1:6" x14ac:dyDescent="0.25">
      <c r="A6" t="s">
        <v>43</v>
      </c>
      <c r="B6" s="18">
        <f>Assumptions!B29*(1+B5)</f>
        <v>23467653014.649002</v>
      </c>
      <c r="C6" s="18">
        <f>B6*(1+C5)</f>
        <v>25829346259.759422</v>
      </c>
      <c r="D6" s="18">
        <f>C6*(1+D5)</f>
        <v>28428711119.51825</v>
      </c>
      <c r="E6" s="18">
        <f>D6*(1+E5)</f>
        <v>31289665940.02167</v>
      </c>
      <c r="F6" s="18">
        <f>E6*(1+F5)</f>
        <v>34438536116.60827</v>
      </c>
    </row>
    <row r="7" spans="1:6" x14ac:dyDescent="0.25">
      <c r="A7" t="s">
        <v>5</v>
      </c>
      <c r="B7" s="10">
        <f>Assumptions!B7</f>
        <v>0.1693684143047519</v>
      </c>
      <c r="C7" s="10">
        <f>Assumptions!B7</f>
        <v>0.1693684143047519</v>
      </c>
      <c r="D7" s="10">
        <f>Assumptions!B7</f>
        <v>0.1693684143047519</v>
      </c>
      <c r="E7" s="10">
        <f>Assumptions!B7</f>
        <v>0.1693684143047519</v>
      </c>
      <c r="F7" s="10">
        <f>Assumptions!B7</f>
        <v>0.1693684143047519</v>
      </c>
    </row>
    <row r="8" spans="1:6" x14ac:dyDescent="0.25">
      <c r="A8" t="s">
        <v>44</v>
      </c>
      <c r="B8" s="18">
        <f>B6*B7</f>
        <v>3974679178.5452323</v>
      </c>
      <c r="C8" s="18">
        <f>C6*C7</f>
        <v>4374675418.543828</v>
      </c>
      <c r="D8" s="18">
        <f>D6*D7</f>
        <v>4814925723.040674</v>
      </c>
      <c r="E8" s="18">
        <f>E6*E7</f>
        <v>5299481104.386875</v>
      </c>
      <c r="F8" s="18">
        <f>F6*F7</f>
        <v>5832800253.046871</v>
      </c>
    </row>
    <row r="9" spans="1:6" x14ac:dyDescent="0.25">
      <c r="A9" t="s">
        <v>45</v>
      </c>
      <c r="B9" s="18">
        <f>B8*(1-Assumptions!B8)</f>
        <v>3208580026.8502736</v>
      </c>
      <c r="C9" s="18">
        <f>C8*(1-Assumptions!B8)</f>
        <v>3531479030.4736166</v>
      </c>
      <c r="D9" s="18">
        <f>D8*(1-Assumptions!B8)</f>
        <v>3886873332.848569</v>
      </c>
      <c r="E9" s="18">
        <f>E8*(1-Assumptions!B8)</f>
        <v>4278033134.3446193</v>
      </c>
      <c r="F9" s="18">
        <f>F8*(1-Assumptions!B8)</f>
        <v>4708557735.566288</v>
      </c>
    </row>
    <row r="10" spans="1:6" x14ac:dyDescent="0.25">
      <c r="A10" t="s">
        <v>46</v>
      </c>
      <c r="B10" s="18">
        <f>B6*Assumptions!B9</f>
        <v>449994148.8331129</v>
      </c>
      <c r="C10" s="18">
        <f>C6*Assumptions!B9</f>
        <v>495279808.24587935</v>
      </c>
      <c r="D10" s="18">
        <f>D6*Assumptions!B9</f>
        <v>545122840.1350813</v>
      </c>
      <c r="E10" s="18">
        <f>E6*Assumptions!B9</f>
        <v>599981880.7259234</v>
      </c>
      <c r="F10" s="18">
        <f>F6*Assumptions!B9</f>
        <v>660361721.6079476</v>
      </c>
    </row>
    <row r="11" spans="1:6" x14ac:dyDescent="0.25">
      <c r="A11" t="s">
        <v>47</v>
      </c>
      <c r="B11" s="18">
        <f>-B6*Assumptions!B10</f>
        <v>-421837372.8208991</v>
      </c>
      <c r="C11" s="18">
        <f>-C6*Assumptions!B10</f>
        <v>-464289443.9037792</v>
      </c>
      <c r="D11" s="18">
        <f>-D6*Assumptions!B10</f>
        <v>-511013726.16409576</v>
      </c>
      <c r="E11" s="18">
        <f>-E6*Assumptions!B10</f>
        <v>-562440158.3039908</v>
      </c>
      <c r="F11" s="18">
        <f>-F6*Assumptions!B10</f>
        <v>-619041946.3829355</v>
      </c>
    </row>
    <row r="12" spans="1:6" x14ac:dyDescent="0.25">
      <c r="A12" t="s">
        <v>48</v>
      </c>
      <c r="B12" s="18">
        <f>-(B6-Assumptions!B29)*Assumptions!B11</f>
        <v>-92657227.27709077</v>
      </c>
      <c r="C12" s="18">
        <f>-(C6-B6)*Assumptions!B11</f>
        <v>-101981889.93655531</v>
      </c>
      <c r="D12" s="18">
        <f>-(D6-C6)*Assumptions!B11</f>
        <v>-112244950.34725821</v>
      </c>
      <c r="E12" s="18">
        <f>-(E6-D6)*Assumptions!B11</f>
        <v>-123540845.20591322</v>
      </c>
      <c r="F12" s="18">
        <f>-(F6-E6)*Assumptions!B11</f>
        <v>-135973514.95077068</v>
      </c>
    </row>
    <row r="13" spans="1:6" x14ac:dyDescent="0.25">
      <c r="A13" s="19" t="s">
        <v>49</v>
      </c>
      <c r="B13" s="20">
        <f>B9+B10+B11+B12</f>
        <v>3144079575.585397</v>
      </c>
      <c r="C13" s="20">
        <f>C9+C10+C11+C12</f>
        <v>3460487504.8791614</v>
      </c>
      <c r="D13" s="20">
        <f>D9+D10+D11+D12</f>
        <v>3808737496.472296</v>
      </c>
      <c r="E13" s="20">
        <f>E9+E10+E11+E12</f>
        <v>4192034011.560639</v>
      </c>
      <c r="F13" s="20">
        <f>F9+F10+F11+F12</f>
        <v>4613903995.840529</v>
      </c>
    </row>
    <row r="14" spans="1:6" x14ac:dyDescent="0.25">
      <c r="A14" t="s">
        <v>50</v>
      </c>
      <c r="B14" s="21">
        <f>1/(1+Assumptions!$B$26)^(1-0.5*Assumptions!$B$32)</f>
        <v>0.9496333596833926</v>
      </c>
      <c r="C14" s="21">
        <f>1/(1+Assumptions!$B$26)^(2-0.5*Assumptions!$B$32)</f>
        <v>0.8563827044050965</v>
      </c>
      <c r="D14" s="21">
        <f>1/(1+Assumptions!$B$26)^(3-0.5*Assumptions!$B$32)</f>
        <v>0.7722889354357764</v>
      </c>
      <c r="E14" s="21">
        <f>1/(1+Assumptions!$B$26)^(4-0.5*Assumptions!$B$32)</f>
        <v>0.6964528787522011</v>
      </c>
      <c r="F14" s="21">
        <f>1/(1+Assumptions!$B$26)^(5-0.5*Assumptions!$B$32)</f>
        <v>0.6280636560570855</v>
      </c>
    </row>
    <row r="15" spans="1:6" x14ac:dyDescent="0.25">
      <c r="A15" s="19" t="s">
        <v>51</v>
      </c>
      <c r="B15" s="20">
        <f>B13*B14</f>
        <v>2985722850.4750953</v>
      </c>
      <c r="C15" s="20">
        <f>C13*C14</f>
        <v>2963501647.9884605</v>
      </c>
      <c r="D15" s="20">
        <f>D13*D14</f>
        <v>2941445826.504914</v>
      </c>
      <c r="E15" s="20">
        <f>E13*E14</f>
        <v>2919554155.1785445</v>
      </c>
      <c r="F15" s="20">
        <f>F13*F14</f>
        <v>2897825412.3239985</v>
      </c>
    </row>
    <row r="17" spans="1:2" x14ac:dyDescent="0.25">
      <c r="A17" s="22" t="s">
        <v>52</v>
      </c>
      <c r="B17" s="23">
        <f>SUM(B15:F15)</f>
        <v>14708049892.471012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4613903995.840529</v>
      </c>
    </row>
    <row r="5" spans="1:2" x14ac:dyDescent="0.25">
      <c r="A5" t="s">
        <v>56</v>
      </c>
      <c r="B5" s="18">
        <f>IF(Assumptions!$B$33=0,B4,B4-Forecast!F11-Forecast!F10-Forecast!F12)</f>
        <v>4708557735.566288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0.11642131317813352</v>
      </c>
    </row>
    <row r="7" spans="1:2" x14ac:dyDescent="0.25">
      <c r="A7" t="s">
        <v>58</v>
      </c>
      <c r="B7" s="18">
        <f>-MAX(Forecast!F9,0)*B6</f>
        <v>-548176474.749686</v>
      </c>
    </row>
    <row r="8" spans="1:2" x14ac:dyDescent="0.25">
      <c r="A8" t="s">
        <v>59</v>
      </c>
      <c r="B8" s="18">
        <f>IF(OR(Assumptions!$B$33=0,Assumptions!B12&lt;=0),B5,MAX(B5+B7,0))</f>
        <v>4160381260.8166018</v>
      </c>
    </row>
    <row r="9" spans="1:2" x14ac:dyDescent="0.25">
      <c r="A9" t="s">
        <v>60</v>
      </c>
      <c r="B9" s="18">
        <f>B8*(1+Assumptions!B12)/(Assumptions!B26-Assumptions!B12)</f>
        <v>50833730918.02286</v>
      </c>
    </row>
    <row r="10" spans="1:2" x14ac:dyDescent="0.25">
      <c r="A10" t="s">
        <v>61</v>
      </c>
      <c r="B10" s="18">
        <f>B9/(1+Assumptions!B26)^(5-0.5*Assumptions!B32)</f>
        <v>31926818891.39554</v>
      </c>
    </row>
    <row r="11" spans="1:2" x14ac:dyDescent="0.25">
      <c r="A11" t="s">
        <v>62</v>
      </c>
      <c r="B11" s="18">
        <f>Forecast!B17+B10</f>
        <v>46634868783.86655</v>
      </c>
    </row>
    <row r="12" spans="1:2" x14ac:dyDescent="0.25">
      <c r="A12" t="s">
        <v>63</v>
      </c>
      <c r="B12" s="18">
        <f>-Assumptions!B30</f>
        <v>-2851800000</v>
      </c>
    </row>
    <row r="13" spans="1:2" x14ac:dyDescent="0.25">
      <c r="A13" t="s">
        <v>64</v>
      </c>
      <c r="B13" s="18">
        <f>B11+B12</f>
        <v>43783068783.86655</v>
      </c>
    </row>
    <row r="14" spans="1:2" x14ac:dyDescent="0.25">
      <c r="A14" s="19" t="s">
        <v>65</v>
      </c>
      <c r="B14" s="24">
        <f>B13/Assumptions!B31</f>
        <v>194.67794034622742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6493161974.654819</v>
      </c>
    </row>
    <row r="18" spans="1:2" x14ac:dyDescent="0.25">
      <c r="A18" t="s">
        <v>60</v>
      </c>
      <c r="B18" s="18">
        <f>B17*Assumptions!B13</f>
        <v>129863239493.09637</v>
      </c>
    </row>
    <row r="19" spans="1:2" x14ac:dyDescent="0.25">
      <c r="A19" t="s">
        <v>61</v>
      </c>
      <c r="B19" s="18">
        <f>B18/(1+Assumptions!B26)^(5-0.5*Assumptions!B32)</f>
        <v>81562380983.451</v>
      </c>
    </row>
    <row r="20" spans="1:2" x14ac:dyDescent="0.25">
      <c r="A20" t="s">
        <v>62</v>
      </c>
      <c r="B20" s="18">
        <f>Forecast!B17+B19</f>
        <v>96270430875.92201</v>
      </c>
    </row>
    <row r="21" spans="1:2" x14ac:dyDescent="0.25">
      <c r="A21" t="s">
        <v>63</v>
      </c>
      <c r="B21" s="18">
        <f>-Assumptions!B30</f>
        <v>-2851800000</v>
      </c>
    </row>
    <row r="22" spans="1:2" x14ac:dyDescent="0.25">
      <c r="A22" t="s">
        <v>64</v>
      </c>
      <c r="B22" s="18">
        <f>B20+B21</f>
        <v>93418630875.92201</v>
      </c>
    </row>
    <row r="23" spans="1:2" x14ac:dyDescent="0.25">
      <c r="A23" s="19" t="s">
        <v>65</v>
      </c>
      <c r="B23" s="25">
        <f>B22/Assumptions!B31</f>
        <v>415.37852768306806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429.11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194.67794034622742</v>
      </c>
    </row>
    <row r="29" spans="1:2" x14ac:dyDescent="0.25">
      <c r="A29" s="19" t="s">
        <v>73</v>
      </c>
      <c r="B29" s="12">
        <f>B28/B26-1</f>
        <v>-0.5463215950543511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0.088889</v>
      </c>
      <c r="B5" s="31">
        <v>238.11824152109875</v>
      </c>
      <c r="C5" s="31">
        <v>247.39669177350976</v>
      </c>
      <c r="D5" s="31">
        <v>258.0754060663329</v>
      </c>
      <c r="E5" s="31">
        <v>270.51105475576725</v>
      </c>
      <c r="F5" s="31">
        <v>285.1926804284101</v>
      </c>
    </row>
    <row r="6" spans="1:6" x14ac:dyDescent="0.25">
      <c r="A6" s="30">
        <v>0.098889</v>
      </c>
      <c r="B6" s="31">
        <v>208.3535773420602</v>
      </c>
      <c r="C6" s="31">
        <v>214.8071518819094</v>
      </c>
      <c r="D6" s="31">
        <v>222.0909804669703</v>
      </c>
      <c r="E6" s="31">
        <v>230.3858439284089</v>
      </c>
      <c r="F6" s="31">
        <v>239.9291152591606</v>
      </c>
    </row>
    <row r="7" spans="1:6" x14ac:dyDescent="0.25">
      <c r="A7" s="30">
        <v>0.108889</v>
      </c>
      <c r="B7" s="31">
        <v>184.94030046614446</v>
      </c>
      <c r="C7" s="31">
        <v>189.55247038615423</v>
      </c>
      <c r="D7" s="32">
        <v>194.67793746525015</v>
      </c>
      <c r="E7" s="31">
        <v>200.41430032157047</v>
      </c>
      <c r="F7" s="31">
        <v>206.88557520460228</v>
      </c>
    </row>
    <row r="8" spans="1:6" x14ac:dyDescent="0.25">
      <c r="A8" s="30">
        <v>0.118889</v>
      </c>
      <c r="B8" s="31">
        <v>166.0440006784727</v>
      </c>
      <c r="C8" s="31">
        <v>169.40758980173908</v>
      </c>
      <c r="D8" s="31">
        <v>173.09811182672684</v>
      </c>
      <c r="E8" s="31">
        <v>177.17073661163934</v>
      </c>
      <c r="F8" s="31">
        <v>181.6937870760354</v>
      </c>
    </row>
    <row r="9" spans="1:6" x14ac:dyDescent="0.25">
      <c r="A9" s="30">
        <v>0.128889</v>
      </c>
      <c r="B9" s="31">
        <v>150.47455520179236</v>
      </c>
      <c r="C9" s="31">
        <v>152.96480111414283</v>
      </c>
      <c r="D9" s="31">
        <v>155.66755635607367</v>
      </c>
      <c r="E9" s="31">
        <v>158.61505545259487</v>
      </c>
      <c r="F9" s="31">
        <v>161.8463994466279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21321900000</v>
      </c>
      <c r="C5" s="18">
        <v>19838200000</v>
      </c>
      <c r="D5" s="18">
        <v>17677600000</v>
      </c>
      <c r="E5" s="18">
        <v>15991700000</v>
      </c>
      <c r="F5" s="8" t="s">
        <v>84</v>
      </c>
    </row>
    <row r="6" spans="1:6" x14ac:dyDescent="0.25">
      <c r="A6" t="s">
        <v>44</v>
      </c>
      <c r="B6" s="18">
        <v>3967400000</v>
      </c>
      <c r="C6" s="18">
        <v>3500100000</v>
      </c>
      <c r="D6" s="18">
        <v>2894000000</v>
      </c>
      <c r="E6" s="18">
        <v>2418900000</v>
      </c>
      <c r="F6" s="8" t="s">
        <v>85</v>
      </c>
    </row>
    <row r="7" spans="1:6" x14ac:dyDescent="0.25">
      <c r="A7" t="s">
        <v>86</v>
      </c>
      <c r="B7" s="18">
        <v>376300000</v>
      </c>
      <c r="C7" s="18">
        <v>379400000</v>
      </c>
      <c r="D7" s="18">
        <v>348100000</v>
      </c>
      <c r="E7" s="18">
        <v>323600000</v>
      </c>
      <c r="F7" s="8" t="s">
        <v>87</v>
      </c>
    </row>
    <row r="8" spans="1:6" x14ac:dyDescent="0.25">
      <c r="A8" t="s">
        <v>88</v>
      </c>
      <c r="B8" s="18">
        <v>383000000</v>
      </c>
      <c r="C8" s="18">
        <v>370600000</v>
      </c>
      <c r="D8" s="18">
        <v>300700000</v>
      </c>
      <c r="E8" s="18">
        <v>291800000</v>
      </c>
      <c r="F8" s="8" t="s">
        <v>89</v>
      </c>
    </row>
    <row r="9" spans="1:6" x14ac:dyDescent="0.25">
      <c r="A9" t="s">
        <v>90</v>
      </c>
      <c r="B9" s="18">
        <v>281600000</v>
      </c>
      <c r="C9" s="18">
        <v>-238900000</v>
      </c>
      <c r="D9" s="18">
        <v>72800000</v>
      </c>
      <c r="E9" s="18">
        <v>550100000</v>
      </c>
      <c r="F9" s="8" t="s">
        <v>91</v>
      </c>
    </row>
    <row r="10" spans="1:6" x14ac:dyDescent="0.25">
      <c r="A10" t="s">
        <v>92</v>
      </c>
      <c r="B10" s="18">
        <v>4615100000</v>
      </c>
      <c r="C10" s="18">
        <v>4770300000</v>
      </c>
      <c r="D10" s="18">
        <v>4779800000</v>
      </c>
      <c r="E10" s="18">
        <v>4836300000</v>
      </c>
      <c r="F10" s="8" t="s">
        <v>93</v>
      </c>
    </row>
    <row r="11" spans="1:6" x14ac:dyDescent="0.25">
      <c r="A11" t="s">
        <v>94</v>
      </c>
      <c r="B11" s="18">
        <v>1763300000</v>
      </c>
      <c r="C11" s="18">
        <v>1590100000</v>
      </c>
      <c r="D11" s="18">
        <v>1095300000</v>
      </c>
      <c r="E11" s="18">
        <v>1220500000</v>
      </c>
      <c r="F11" s="8" t="s">
        <v>95</v>
      </c>
    </row>
    <row r="12" spans="1:6" x14ac:dyDescent="0.25">
      <c r="A12" t="s">
        <v>32</v>
      </c>
      <c r="B12" s="34">
        <v>224900000</v>
      </c>
      <c r="C12" s="34">
        <v>228400000</v>
      </c>
      <c r="D12" s="34">
        <v>230700000</v>
      </c>
      <c r="E12" s="34">
        <v>234900000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2026-09-19T00:07:03Z</dcterms:modified>
</cp:coreProperties>
</file>