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<sst xmlns="http://schemas.openxmlformats.org/spreadsheetml/2006/main" count="112" uniqueCount="100">
  <si>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Take-Two Interactive Software, Inc. (TTWO)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</si>
  <si>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</si>
  <si>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</si>
  <si>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</si>
  <si>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</si>
  <si>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</si>
  <si>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</si>
  <si>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</si>
  <si>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</si>
  <si>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</si>
  <si>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</si>
  <si>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</si>
  <si>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</si>
  <si>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</si>
  <si>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</si>
  <si>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</si>
  <si>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</si>
  <si>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</si>
  <si>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</si>
  <si>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</si>
  <si>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</si>
  <si>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</si>
  <si>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</si>
  <si>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</si>
  <si>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</si>
  <si>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</si>
  <si>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</si>
  <si>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</si>
  <si>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</si>
  <si>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</si>
  <si>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</si>
  <si>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</si>
  <si>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</si>
  <si>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</si>
  <si>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</si>
  <si>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</si>
  <si>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</si>
  <si>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</si>
  <si>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</si>
  <si>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</si>
  <si>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</si>
  <si>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</si>
  <si>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</si>
  <si>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</si>
  <si>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</si>
  <si>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</si>
  <si>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</si>
  <si>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</si>
  <si>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</si>
  <si>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</si>
  <si>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</si>
  <si>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</si>
  <si>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</si>
  <si>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</si>
  <si>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</si>
  <si>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</si>
  <si>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</si>
  <si>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</si>
  <si>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</si>
  <si>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</si>
  <si>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</si>
  <si>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</si>
  <si>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</si>
  <si>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</si>
  <si>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</si>
  <si>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</si>
  <si>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</si>
  <si>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</si>
  <si>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</si>
  <si>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</si>
  <si>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</si>
  <si>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</si>
  <si>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</si>
  <si>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</si>
  <si>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</si>
  <si>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</si>
  <si>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</si>
  <si>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</si>
  <si>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</si>
  <si>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</si>
  <si>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</si>
  <si>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</si>
  <si>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</si>
  <si>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</si>
  <si>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</si>
  <si>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</si>
  <si>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</si>
  <si>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</si>
  <si>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</si>
  <si>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</si>
  <si>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</si>
  <si>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</si>
  <si>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</si>
  <si>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</si>
  <si>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</si>
  <si>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</si>
  <si>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</si>
  <si>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</si>
  <si>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33.7x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</si>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</sst>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0.07555159639473397</v>
      </c>
    </row>
    <row r="7" spans="1:2" x14ac:dyDescent="0.25">
      <c r="A7" t="s">
        <v>5</v>
      </c>
      <c r="B7" s="6">
        <v>-0.14411546552794388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0.27291001599769615</v>
      </c>
    </row>
    <row r="10" spans="1:2" x14ac:dyDescent="0.25">
      <c r="A10" t="s">
        <v>8</v>
      </c>
      <c r="B10" s="6">
        <v>0.029796036690671466</v>
      </c>
    </row>
    <row r="11" spans="1:2" x14ac:dyDescent="0.25">
      <c r="A11" t="s">
        <v>9</v>
      </c>
      <c r="B11" s="6">
        <v>0.9847477512710208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0.09913357782396474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0.97722</v>
      </c>
      <c r="C19" s="8" t="s">
        <v>19</v>
      </c>
    </row>
    <row r="20" spans="1:2" x14ac:dyDescent="0.25">
      <c r="A20" t="s">
        <v>20</v>
      </c>
      <c r="B20" s="10">
        <f>B17+B19*B18</f>
        <v>0.1037271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38415130624</v>
      </c>
    </row>
    <row r="23" spans="1:2" x14ac:dyDescent="0.25">
      <c r="A23" t="s">
        <v>24</v>
      </c>
      <c r="B23" s="11">
        <v>2958300000</v>
      </c>
    </row>
    <row r="24" spans="1:2" x14ac:dyDescent="0.25">
      <c r="A24" t="s">
        <v>25</v>
      </c>
      <c r="B24" s="10">
        <f>B22/(B22+B23)</f>
        <v>0.9284975899899405</v>
      </c>
    </row>
    <row r="25" spans="1:2" x14ac:dyDescent="0.25">
      <c r="A25" t="s">
        <v>26</v>
      </c>
      <c r="B25" s="10">
        <f>1-B24</f>
        <v>0.07150241001005953</v>
      </c>
    </row>
    <row r="26" spans="1:2" x14ac:dyDescent="0.25">
      <c r="A26" t="s">
        <v>27</v>
      </c>
      <c r="B26" s="12">
        <f>B24*B20+B25*B21*(1-B8)</f>
        <v>0.09913357782396474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6656400000</v>
      </c>
      <c r="C29" s="8" t="s">
        <v>30</v>
      </c>
    </row>
    <row r="30" spans="1:2" x14ac:dyDescent="0.25">
      <c r="A30" t="s">
        <v>31</v>
      </c>
      <c r="B30" s="11">
        <v>969000000</v>
      </c>
    </row>
    <row r="31" spans="1:2" x14ac:dyDescent="0.25">
      <c r="A31" t="s">
        <v>32</v>
      </c>
      <c r="B31" s="13">
        <v>183900000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0.07555159639473397</v>
      </c>
      <c r="C5" s="10">
        <f>Assumptions!B6</f>
        <v>0.07555159639473397</v>
      </c>
      <c r="D5" s="10">
        <f>Assumptions!B6</f>
        <v>0.07555159639473397</v>
      </c>
      <c r="E5" s="10">
        <f>Assumptions!B6</f>
        <v>0.07555159639473397</v>
      </c>
      <c r="F5" s="10">
        <f>Assumptions!B6</f>
        <v>0.07555159639473397</v>
      </c>
    </row>
    <row r="6" spans="1:6" x14ac:dyDescent="0.25">
      <c r="A6" t="s">
        <v>43</v>
      </c>
      <c r="B6" s="18">
        <f>Assumptions!B29*(1+B5)</f>
        <v>7159301646.241907</v>
      </c>
      <c r="C6" s="18">
        <f>B6*(1+C5)</f>
        <v>7700198314.68693</v>
      </c>
      <c r="D6" s="18">
        <f>C6*(1+D5)</f>
        <v>8281960589.917567</v>
      </c>
      <c r="E6" s="18">
        <f>D6*(1+E5)</f>
        <v>8907675933.764112</v>
      </c>
      <c r="F6" s="18">
        <f>E6*(1+F5)</f>
        <v>9580665070.726944</v>
      </c>
    </row>
    <row r="7" spans="1:6" x14ac:dyDescent="0.25">
      <c r="A7" t="s">
        <v>5</v>
      </c>
      <c r="B7" s="10">
        <f>Assumptions!B7</f>
        <v>-0.14411546552794388</v>
      </c>
      <c r="C7" s="10">
        <f>Assumptions!B7</f>
        <v>-0.14411546552794388</v>
      </c>
      <c r="D7" s="10">
        <f>Assumptions!B7</f>
        <v>-0.14411546552794388</v>
      </c>
      <c r="E7" s="10">
        <f>Assumptions!B7</f>
        <v>-0.14411546552794388</v>
      </c>
      <c r="F7" s="10">
        <f>Assumptions!B7</f>
        <v>-0.14411546552794388</v>
      </c>
    </row>
    <row r="8" spans="1:6" x14ac:dyDescent="0.25">
      <c r="A8" t="s">
        <v>44</v>
      </c>
      <c r="B8" s="18">
        <f>B6*B7</f>
        <v>-1031766089.6031275</v>
      </c>
      <c r="C8" s="18">
        <f>C6*C7</f>
        <v>-1109717664.7785957</v>
      </c>
      <c r="D8" s="18">
        <f>D6*D7</f>
        <v>-1193558605.900055</v>
      </c>
      <c r="E8" s="18">
        <f>E6*E7</f>
        <v>-1283733863.9664772</v>
      </c>
      <c r="F8" s="18">
        <f>F6*F7</f>
        <v>-1380722006.7351248</v>
      </c>
    </row>
    <row r="9" spans="1:6" x14ac:dyDescent="0.25">
      <c r="A9" t="s">
        <v>45</v>
      </c>
      <c r="B9" s="18">
        <f>B8*(1-Assumptions!B8)</f>
        <v>-815095210.7864708</v>
      </c>
      <c r="C9" s="18">
        <f>C8*(1-Assumptions!B8)</f>
        <v>-876676955.1750907</v>
      </c>
      <c r="D9" s="18">
        <f>D8*(1-Assumptions!B8)</f>
        <v>-942911298.6610434</v>
      </c>
      <c r="E9" s="18">
        <f>E8*(1-Assumptions!B8)</f>
        <v>-1014149752.533517</v>
      </c>
      <c r="F9" s="18">
        <f>F8*(1-Assumptions!B8)</f>
        <v>-1090770385.3207486</v>
      </c>
    </row>
    <row r="10" spans="1:6" x14ac:dyDescent="0.25">
      <c r="A10" t="s">
        <v>46</v>
      </c>
      <c r="B10" s="18">
        <f>B6*Assumptions!B9</f>
        <v>1953845126.8082113</v>
      </c>
      <c r="C10" s="18">
        <f>C6*Assumptions!B9</f>
        <v>2101461245.2466428</v>
      </c>
      <c r="D10" s="18">
        <f>D6*Assumptions!B9</f>
        <v>2260229997.0866923</v>
      </c>
      <c r="E10" s="18">
        <f>E6*Assumptions!B9</f>
        <v>2430993981.585857</v>
      </c>
      <c r="F10" s="18">
        <f>F6*Assumptions!B9</f>
        <v>2614659457.7206593</v>
      </c>
    </row>
    <row r="11" spans="1:6" x14ac:dyDescent="0.25">
      <c r="A11" t="s">
        <v>47</v>
      </c>
      <c r="B11" s="18">
        <f>-B6*Assumptions!B10</f>
        <v>-213318814.53100848</v>
      </c>
      <c r="C11" s="18">
        <f>-C6*Assumptions!B10</f>
        <v>-229435391.50985834</v>
      </c>
      <c r="D11" s="18">
        <f>-D6*Assumptions!B10</f>
        <v>-246769601.60787892</v>
      </c>
      <c r="E11" s="18">
        <f>-E6*Assumptions!B10</f>
        <v>-265413438.9510467</v>
      </c>
      <c r="F11" s="18">
        <f>-F6*Assumptions!B10</f>
        <v>-285465847.96841455</v>
      </c>
    </row>
    <row r="12" spans="1:6" x14ac:dyDescent="0.25">
      <c r="A12" t="s">
        <v>48</v>
      </c>
      <c r="B12" s="18">
        <f>-(B6-Assumptions!B29)*Assumptions!B11</f>
        <v>-495231265.2472124</v>
      </c>
      <c r="C12" s="18">
        <f>-(C6-B6)*Assumptions!B11</f>
        <v>-532646777.92122287</v>
      </c>
      <c r="D12" s="18">
        <f>-(D6-C6)*Assumptions!B11</f>
        <v>-572889092.307683</v>
      </c>
      <c r="E12" s="18">
        <f>-(E6-D6)*Assumptions!B11</f>
        <v>-616171777.788659</v>
      </c>
      <c r="F12" s="18">
        <f>-(F6-E6)*Assumptions!B11</f>
        <v>-662724539.2539734</v>
      </c>
    </row>
    <row r="13" spans="1:6" x14ac:dyDescent="0.25">
      <c r="A13" s="19" t="s">
        <v>49</v>
      </c>
      <c r="B13" s="20">
        <f>B9+B10+B11+B12</f>
        <v>430199836.24351954</v>
      </c>
      <c r="C13" s="20">
        <f>C9+C10+C11+C12</f>
        <v>462702120.64047104</v>
      </c>
      <c r="D13" s="20">
        <f>D9+D10+D11+D12</f>
        <v>497660004.510087</v>
      </c>
      <c r="E13" s="20">
        <f>E9+E10+E11+E12</f>
        <v>535259012.31263435</v>
      </c>
      <c r="F13" s="20">
        <f>F9+F10+F11+F12</f>
        <v>575698685.1775228</v>
      </c>
    </row>
    <row r="14" spans="1:6" x14ac:dyDescent="0.25">
      <c r="A14" t="s">
        <v>50</v>
      </c>
      <c r="B14" s="21">
        <f>1/(1+Assumptions!$B$26)^(1-0.5*Assumptions!$B$32)</f>
        <v>0.9538383117296124</v>
      </c>
      <c r="C14" s="21">
        <f>1/(1+Assumptions!$B$26)^(2-0.5*Assumptions!$B$32)</f>
        <v>0.8678092735716401</v>
      </c>
      <c r="D14" s="21">
        <f>1/(1+Assumptions!$B$26)^(3-0.5*Assumptions!$B$32)</f>
        <v>0.7895394072936116</v>
      </c>
      <c r="E14" s="21">
        <f>1/(1+Assumptions!$B$26)^(4-0.5*Assumptions!$B$32)</f>
        <v>0.7183288939791291</v>
      </c>
      <c r="F14" s="21">
        <f>1/(1+Assumptions!$B$26)^(5-0.5*Assumptions!$B$32)</f>
        <v>0.6535410331119693</v>
      </c>
    </row>
    <row r="15" spans="1:6" x14ac:dyDescent="0.25">
      <c r="A15" s="19" t="s">
        <v>51</v>
      </c>
      <c r="B15" s="20">
        <f>B13*B14</f>
        <v>410341085.5088744</v>
      </c>
      <c r="C15" s="20">
        <f>C13*C14</f>
        <v>401537191.1930645</v>
      </c>
      <c r="D15" s="20">
        <f>D13*D14</f>
        <v>392922184.99463016</v>
      </c>
      <c r="E15" s="20">
        <f>E13*E14</f>
        <v>384492014.3068957</v>
      </c>
      <c r="F15" s="20">
        <f>F13*F14</f>
        <v>376242713.47212064</v>
      </c>
    </row>
    <row r="17" spans="1:2" x14ac:dyDescent="0.25">
      <c r="A17" s="22" t="s">
        <v>52</v>
      </c>
      <c r="B17" s="23">
        <f>SUM(B15:F15)</f>
        <v>1965535189.4755855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575698685.1775228</v>
      </c>
    </row>
    <row r="5" spans="1:2" x14ac:dyDescent="0.25">
      <c r="A5" t="s">
        <v>56</v>
      </c>
      <c r="B5" s="18">
        <f>IF(Assumptions!$B$33=0,B4,B4-Forecast!F11-Forecast!F10-Forecast!F12)</f>
        <v>795952999.5463754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0.2521849866489581</v>
      </c>
    </row>
    <row r="7" spans="1:2" x14ac:dyDescent="0.25">
      <c r="A7" t="s">
        <v>58</v>
      </c>
      <c r="B7" s="18">
        <f>-MAX(Forecast!F9,0)*B6</f>
        <v>-200727396.56380084</v>
      </c>
    </row>
    <row r="8" spans="1:2" x14ac:dyDescent="0.25">
      <c r="A8" t="s">
        <v>59</v>
      </c>
      <c r="B8" s="18">
        <f>IF(OR(Assumptions!$B$33=0,Assumptions!B12&lt;=0),B5,MAX(B5+B7,0))</f>
        <v>595225602.9825746</v>
      </c>
    </row>
    <row r="9" spans="1:2" x14ac:dyDescent="0.25">
      <c r="A9" t="s">
        <v>60</v>
      </c>
      <c r="B9" s="18">
        <f>B8*(1+Assumptions!B12)/(Assumptions!B26-Assumptions!B12)</f>
        <v>8229823259.115836</v>
      </c>
    </row>
    <row r="10" spans="1:2" x14ac:dyDescent="0.25">
      <c r="A10" t="s">
        <v>61</v>
      </c>
      <c r="B10" s="18">
        <f>B9/(1+Assumptions!B26)^(5-0.5*Assumptions!B32)</f>
        <v>5378527195.091478</v>
      </c>
    </row>
    <row r="11" spans="1:2" x14ac:dyDescent="0.25">
      <c r="A11" t="s">
        <v>62</v>
      </c>
      <c r="B11" s="18">
        <f>Forecast!B17+B10</f>
        <v>7344062384.567064</v>
      </c>
    </row>
    <row r="12" spans="1:2" x14ac:dyDescent="0.25">
      <c r="A12" t="s">
        <v>63</v>
      </c>
      <c r="B12" s="18">
        <f>-Assumptions!B30</f>
        <v>-969000000</v>
      </c>
    </row>
    <row r="13" spans="1:2" x14ac:dyDescent="0.25">
      <c r="A13" t="s">
        <v>64</v>
      </c>
      <c r="B13" s="18">
        <f>B11+B12</f>
        <v>6375062384.567064</v>
      </c>
    </row>
    <row r="14" spans="1:2" x14ac:dyDescent="0.25">
      <c r="A14" s="19" t="s">
        <v>65</v>
      </c>
      <c r="B14" s="24">
        <f>B13/Assumptions!B31</f>
        <v>34.665918350011225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1233937450.9855344</v>
      </c>
    </row>
    <row r="18" spans="1:2" x14ac:dyDescent="0.25">
      <c r="A18" t="s">
        <v>60</v>
      </c>
      <c r="B18" s="18">
        <f>B17*Assumptions!B13</f>
        <v>24678749019.71069</v>
      </c>
    </row>
    <row r="19" spans="1:2" x14ac:dyDescent="0.25">
      <c r="A19" t="s">
        <v>61</v>
      </c>
      <c r="B19" s="18">
        <f>B18/(1+Assumptions!B26)^(5-0.5*Assumptions!B32)</f>
        <v>16128575130.252724</v>
      </c>
    </row>
    <row r="20" spans="1:2" x14ac:dyDescent="0.25">
      <c r="A20" t="s">
        <v>62</v>
      </c>
      <c r="B20" s="18">
        <f>Forecast!B17+B19</f>
        <v>18094110319.72831</v>
      </c>
    </row>
    <row r="21" spans="1:2" x14ac:dyDescent="0.25">
      <c r="A21" t="s">
        <v>63</v>
      </c>
      <c r="B21" s="18">
        <f>-Assumptions!B30</f>
        <v>-969000000</v>
      </c>
    </row>
    <row r="22" spans="1:2" x14ac:dyDescent="0.25">
      <c r="A22" t="s">
        <v>64</v>
      </c>
      <c r="B22" s="18">
        <f>B20+B21</f>
        <v>17125110319.72831</v>
      </c>
    </row>
    <row r="23" spans="1:2" x14ac:dyDescent="0.25">
      <c r="A23" s="19" t="s">
        <v>65</v>
      </c>
      <c r="B23" s="25">
        <f>B22/Assumptions!B31</f>
        <v>93.1218614449609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205.45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34.665918350011225</v>
      </c>
    </row>
    <row r="29" spans="1:2" x14ac:dyDescent="0.25">
      <c r="A29" s="19" t="s">
        <v>73</v>
      </c>
      <c r="B29" s="12">
        <f>B28/B26-1</f>
        <v>-0.8312683458261805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0.079134</v>
      </c>
      <c r="B5" s="31">
        <v>45.32250952271525</v>
      </c>
      <c r="C5" s="31">
        <v>45.516630910905576</v>
      </c>
      <c r="D5" s="31">
        <v>45.71075229909589</v>
      </c>
      <c r="E5" s="31">
        <v>45.90487368728621</v>
      </c>
      <c r="F5" s="31">
        <v>46.098995075476516</v>
      </c>
    </row>
    <row r="6" spans="1:6" x14ac:dyDescent="0.25">
      <c r="A6" s="30">
        <v>0.089134</v>
      </c>
      <c r="B6" s="31">
        <v>39.2256192109004</v>
      </c>
      <c r="C6" s="31">
        <v>39.39095481294145</v>
      </c>
      <c r="D6" s="31">
        <v>39.556290414982506</v>
      </c>
      <c r="E6" s="31">
        <v>39.72162601702355</v>
      </c>
      <c r="F6" s="31">
        <v>39.88696161906461</v>
      </c>
    </row>
    <row r="7" spans="1:6" x14ac:dyDescent="0.25">
      <c r="A7" s="30">
        <v>0.099134</v>
      </c>
      <c r="B7" s="31">
        <v>34.38039807705633</v>
      </c>
      <c r="C7" s="31">
        <v>34.52306561889215</v>
      </c>
      <c r="D7" s="32">
        <v>34.66573316072795</v>
      </c>
      <c r="E7" s="31">
        <v>34.80840070256378</v>
      </c>
      <c r="F7" s="31">
        <v>34.95106824439959</v>
      </c>
    </row>
    <row r="8" spans="1:6" x14ac:dyDescent="0.25">
      <c r="A8" s="30">
        <v>0.109134</v>
      </c>
      <c r="B8" s="31">
        <v>30.44167110660933</v>
      </c>
      <c r="C8" s="31">
        <v>30.566090345924625</v>
      </c>
      <c r="D8" s="31">
        <v>30.690509585239916</v>
      </c>
      <c r="E8" s="31">
        <v>30.814928824555214</v>
      </c>
      <c r="F8" s="31">
        <v>30.939348063870504</v>
      </c>
    </row>
    <row r="9" spans="1:6" x14ac:dyDescent="0.25">
      <c r="A9" s="30">
        <v>0.119134</v>
      </c>
      <c r="B9" s="31">
        <v>27.180222944285276</v>
      </c>
      <c r="C9" s="31">
        <v>27.28968675669752</v>
      </c>
      <c r="D9" s="31">
        <v>27.399150569109747</v>
      </c>
      <c r="E9" s="31">
        <v>27.508614381521987</v>
      </c>
      <c r="F9" s="31">
        <v>27.61807819393422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6656400000</v>
      </c>
      <c r="C5" s="18">
        <v>5633600000</v>
      </c>
      <c r="D5" s="18">
        <v>5349600000</v>
      </c>
      <c r="E5" s="18">
        <v>5349900000</v>
      </c>
      <c r="F5" s="8" t="s">
        <v>84</v>
      </c>
    </row>
    <row r="6" spans="1:6" x14ac:dyDescent="0.25">
      <c r="A6" t="s">
        <v>44</v>
      </c>
      <c r="B6" s="18">
        <v>-108600000</v>
      </c>
      <c r="C6" s="18">
        <v>-739400000</v>
      </c>
      <c r="D6" s="18">
        <v>-1143900000</v>
      </c>
      <c r="E6" s="18">
        <v>-1150600000</v>
      </c>
      <c r="F6" s="8" t="s">
        <v>85</v>
      </c>
    </row>
    <row r="7" spans="1:6" x14ac:dyDescent="0.25">
      <c r="A7" t="s">
        <v>86</v>
      </c>
      <c r="B7" s="18">
        <v>1278000000</v>
      </c>
      <c r="C7" s="18">
        <v>1342200000</v>
      </c>
      <c r="D7" s="18">
        <v>1761600000</v>
      </c>
      <c r="E7" s="18">
        <v>1776700000</v>
      </c>
      <c r="F7" s="8" t="s">
        <v>87</v>
      </c>
    </row>
    <row r="8" spans="1:6" x14ac:dyDescent="0.25">
      <c r="A8" t="s">
        <v>88</v>
      </c>
      <c r="B8" s="18">
        <v>162800000</v>
      </c>
      <c r="C8" s="18">
        <v>169400000</v>
      </c>
      <c r="D8" s="18">
        <v>141700000</v>
      </c>
      <c r="E8" s="18">
        <v>204200000</v>
      </c>
      <c r="F8" s="8" t="s">
        <v>89</v>
      </c>
    </row>
    <row r="9" spans="1:6" x14ac:dyDescent="0.25">
      <c r="A9" t="s">
        <v>90</v>
      </c>
      <c r="B9" s="18">
        <v>1007200000</v>
      </c>
      <c r="C9" s="18">
        <v>1243800000</v>
      </c>
      <c r="D9" s="18">
        <v>887100000</v>
      </c>
      <c r="E9" s="18">
        <v>855800000</v>
      </c>
      <c r="F9" s="8" t="s">
        <v>91</v>
      </c>
    </row>
    <row r="10" spans="1:6" x14ac:dyDescent="0.25">
      <c r="A10" t="s">
        <v>92</v>
      </c>
      <c r="B10" s="18">
        <v>2958300000</v>
      </c>
      <c r="C10" s="18">
        <v>4105900000</v>
      </c>
      <c r="D10" s="18">
        <v>3534000000</v>
      </c>
      <c r="E10" s="18">
        <v>3487000000</v>
      </c>
      <c r="F10" s="8" t="s">
        <v>93</v>
      </c>
    </row>
    <row r="11" spans="1:6" x14ac:dyDescent="0.25">
      <c r="A11" t="s">
        <v>94</v>
      </c>
      <c r="B11" s="18">
        <v>1989300000</v>
      </c>
      <c r="C11" s="18">
        <v>1465500000</v>
      </c>
      <c r="D11" s="18">
        <v>776000000</v>
      </c>
      <c r="E11" s="18">
        <v>1014400000</v>
      </c>
      <c r="F11" s="8" t="s">
        <v>95</v>
      </c>
    </row>
    <row r="12" spans="1:6" x14ac:dyDescent="0.25">
      <c r="A12" t="s">
        <v>32</v>
      </c>
      <c r="B12" s="34">
        <v>183900000</v>
      </c>
      <c r="C12" s="34">
        <v>175100000</v>
      </c>
      <c r="D12" s="34">
        <v>170100000</v>
      </c>
      <c r="E12" s="34">
        <v>159900000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2026-09-19T00:08:16Z</dcterms:modified>
</cp:coreProperties>
</file>