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<sst xmlns="http://schemas.openxmlformats.org/spreadsheetml/2006/main" count="120" uniqueCount="107">
  <si>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Take-Two Interactive Software, Inc. (TTWO)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</si>
  <si>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</si>
  <si>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</si>
  <si>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</si>
  <si>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</si>
  <si>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</si>
  <si>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</si>
  <si>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</si>
  <si>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</si>
  <si>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</si>
  <si>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</si>
  <si>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</si>
  <si>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</si>
  <si>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</si>
  <si>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</si>
  <si>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</si>
  <si>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</si>
  <si>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</si>
  <si>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</si>
  <si>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</si>
  <si>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</si>
  <si>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</si>
  <si>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</si>
  <si>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</si>
  <si>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D rating at -0.7x interest cover, capped at 200bp because one year's cover is too noisy to charge more. Book interest / average debt was lower, at 4.6%.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</si>
  <si>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</si>
  <si>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</si>
  <si>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</si>
  <si>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</si>
  <si>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</si>
  <si>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</si>
  <si>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</si>
  <si>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</si>
  <si>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</si>
  <si>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</si>
  <si>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</si>
  <si>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</si>
  <si>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</si>
  <si>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</si>
  <si>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</si>
  <si>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</si>
  <si>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</si>
  <si>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</si>
  <si>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</si>
  <si>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</si>
  <si>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</si>
  <si>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</si>
  <si>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</si>
  <si>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</si>
  <si>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</si>
  <si>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</si>
  <si>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</si>
  <si>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</si>
  <si>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</si>
  <si>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</si>
  <si>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</si>
  <si>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</si>
  <si>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</si>
  <si>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</si>
  <si>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</si>
  <si>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</si>
  <si>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</si>
  <si>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</si>
  <si>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</si>
  <si>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</si>
  <si>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</si>
  <si>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</si>
  <si>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</si>
  <si>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</si>
  <si>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</si>
  <si>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</si>
  <si>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</si>
  <si>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</si>
  <si>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</si>
  <si>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</si>
  <si>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</si>
  <si>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</si>
  <si>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</si>
  <si>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</si>
  <si>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</si>
  <si>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</si>
  <si>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</si>
  <si>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</si>
  <si>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</si>
  <si>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</si>
  <si>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</si>
  <si>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</si>
  <si>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</si>
  <si>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</si>
  <si>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</si>
  <si>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</si>
  <si>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</si>
  <si>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</si>
  <si>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</si>
  <si>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</si>
  <si>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</si>
  <si>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</si>
  <si>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</si>
  <si>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</si>
  <si>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</si>
  <si>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</si>
  <si>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</si>
  <si>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</si>
  <si>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</si>
  <si>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</si>
  <si>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31.2x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</si>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</sst>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0.28248141938585425</v>
      </c>
    </row>
    <row r="7" spans="1:2" x14ac:dyDescent="0.25">
      <c r="A7" t="s">
        <v>4</v>
      </c>
      <c r="B7" s="5">
        <v>-0.14411546552794388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0.27291001599769615</v>
      </c>
    </row>
    <row r="10" spans="1:3" x14ac:dyDescent="0.25">
      <c r="A10" t="s">
        <v>7</v>
      </c>
      <c r="B10" s="5">
        <v>0.029796036690671466</v>
      </c>
      <c r="C10" s="6" t="s">
        <v>8</v>
      </c>
    </row>
    <row r="11" spans="1:2" x14ac:dyDescent="0.25">
      <c r="A11" t="s">
        <v>9</v>
      </c>
      <c r="B11" s="5">
        <v>0.0963756757453527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0.08773499397771557</v>
      </c>
      <c r="C14" s="6" t="s">
        <v>13</v>
      </c>
    </row>
    <row r="15" spans="1:3" x14ac:dyDescent="0.25">
      <c r="A15" t="s">
        <v>14</v>
      </c>
      <c r="B15" s="5">
        <v>0.023631136967048733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0.98258</v>
      </c>
      <c r="C19" s="6" t="s">
        <v>21</v>
      </c>
    </row>
    <row r="20" spans="1:2" x14ac:dyDescent="0.25">
      <c r="A20" t="s">
        <v>22</v>
      </c>
      <c r="B20" s="9">
        <f>B17+B19*B18</f>
        <v>0.090503134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35558072320</v>
      </c>
    </row>
    <row r="23" spans="1:2" x14ac:dyDescent="0.25">
      <c r="A23" t="s">
        <v>26</v>
      </c>
      <c r="B23" s="10">
        <v>2958300000</v>
      </c>
    </row>
    <row r="24" spans="1:2" x14ac:dyDescent="0.25">
      <c r="A24" t="s">
        <v>27</v>
      </c>
      <c r="B24" s="9">
        <f>B22/(B22+B23)</f>
        <v>0.9231937012286104</v>
      </c>
    </row>
    <row r="25" spans="1:2" x14ac:dyDescent="0.25">
      <c r="A25" t="s">
        <v>28</v>
      </c>
      <c r="B25" s="9">
        <f>1-B24</f>
        <v>0.07680629877138956</v>
      </c>
    </row>
    <row r="26" spans="1:2" x14ac:dyDescent="0.25">
      <c r="A26" t="s">
        <v>29</v>
      </c>
      <c r="B26" s="11">
        <f>B24*B20+B25*B21*(1-B8)</f>
        <v>0.08773499397771557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6656400000</v>
      </c>
      <c r="C29" s="6" t="s">
        <v>32</v>
      </c>
    </row>
    <row r="30" spans="1:2" x14ac:dyDescent="0.25">
      <c r="A30" t="s">
        <v>33</v>
      </c>
      <c r="B30" s="10">
        <v>969000000</v>
      </c>
    </row>
    <row r="31" spans="1:2" x14ac:dyDescent="0.25">
      <c r="A31" t="s">
        <v>34</v>
      </c>
      <c r="B31" s="12">
        <v>183900000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0.28248141938585425</v>
      </c>
      <c r="C5" s="5">
        <v>0.08664121528270563</v>
      </c>
      <c r="D5" s="5">
        <v>0.07893606337236743</v>
      </c>
      <c r="E5" s="5">
        <v>0.07123091146202923</v>
      </c>
      <c r="F5" s="5">
        <v>0.06352575955169101</v>
      </c>
      <c r="G5" s="5">
        <v>0.05582060764135281</v>
      </c>
      <c r="H5" s="5">
        <v>0.04811545573101461</v>
      </c>
      <c r="I5" s="5">
        <v>0.04041030382067641</v>
      </c>
      <c r="J5" s="5">
        <v>0.0327051519103382</v>
      </c>
      <c r="K5" s="5">
        <v>0.025</v>
      </c>
    </row>
    <row r="6" spans="1:11" x14ac:dyDescent="0.25">
      <c r="A6" t="s">
        <v>50</v>
      </c>
      <c r="B6" s="18">
        <f>Assumptions!B29*(1+B5)</f>
        <v>8536709320</v>
      </c>
      <c r="C6" s="18">
        <f>B6*(1+C5)</f>
        <v>9276340190</v>
      </c>
      <c r="D6" s="18">
        <f>C6*(1+D5)</f>
        <v>10008577967.101479</v>
      </c>
      <c r="E6" s="18">
        <f>D6*(1+E5)</f>
        <v>10721498098.136902</v>
      </c>
      <c r="F6" s="18">
        <f>E6*(1+F5)</f>
        <v>11402589408.353058</v>
      </c>
      <c r="G6" s="18">
        <f>F6*(1+G5)</f>
        <v>12039088877.81218</v>
      </c>
      <c r="H6" s="18">
        <f>G6*(1+H5)</f>
        <v>12618355125.754301</v>
      </c>
      <c r="I6" s="18">
        <f>H6*(1+I5)</f>
        <v>13128266690.103222</v>
      </c>
      <c r="J6" s="18">
        <f>I6*(1+J5)</f>
        <v>13557628646.522482</v>
      </c>
      <c r="K6" s="18">
        <f>J6*(1+K5)</f>
        <v>13896569362.685543</v>
      </c>
    </row>
    <row r="7" spans="1:11" x14ac:dyDescent="0.25">
      <c r="A7" t="s">
        <v>4</v>
      </c>
      <c r="B7" s="9">
        <f>Assumptions!B7</f>
        <v>-0.14411546552794388</v>
      </c>
      <c r="C7" s="9">
        <f>Assumptions!B7</f>
        <v>-0.14411546552794388</v>
      </c>
      <c r="D7" s="9">
        <f>Assumptions!B7</f>
        <v>-0.14411546552794388</v>
      </c>
      <c r="E7" s="9">
        <f>Assumptions!B7</f>
        <v>-0.14411546552794388</v>
      </c>
      <c r="F7" s="9">
        <f>Assumptions!B7</f>
        <v>-0.14411546552794388</v>
      </c>
      <c r="G7" s="9">
        <f>Assumptions!B7</f>
        <v>-0.14411546552794388</v>
      </c>
      <c r="H7" s="9">
        <f>Assumptions!B7</f>
        <v>-0.14411546552794388</v>
      </c>
      <c r="I7" s="9">
        <f>Assumptions!B7</f>
        <v>-0.14411546552794388</v>
      </c>
      <c r="J7" s="9">
        <f>Assumptions!B7</f>
        <v>-0.14411546552794388</v>
      </c>
      <c r="K7" s="9">
        <f>Assumptions!B7</f>
        <v>-0.14411546552794388</v>
      </c>
    </row>
    <row r="8" spans="1:11" x14ac:dyDescent="0.25">
      <c r="A8" t="s">
        <v>51</v>
      </c>
      <c r="B8" s="18">
        <f>B6*B7</f>
        <v>-1230271837.7285373</v>
      </c>
      <c r="C8" s="18">
        <f>C6*C7</f>
        <v>-1336864084.8774254</v>
      </c>
      <c r="D8" s="18">
        <f>D6*D7</f>
        <v>-1442390873.0015519</v>
      </c>
      <c r="E8" s="18">
        <f>E6*E7</f>
        <v>-1545133689.5699646</v>
      </c>
      <c r="F8" s="18">
        <f>F6*F7</f>
        <v>-1643289480.808803</v>
      </c>
      <c r="G8" s="18">
        <f>G6*G7</f>
        <v>-1735018898.1581938</v>
      </c>
      <c r="H8" s="18">
        <f>H6*H7</f>
        <v>-1818500123.1449978</v>
      </c>
      <c r="I8" s="18">
        <f>I6*I7</f>
        <v>-1891986265.6192248</v>
      </c>
      <c r="J8" s="18">
        <f>J6*J7</f>
        <v>-1953863963.848575</v>
      </c>
      <c r="K8" s="18">
        <f>K6*K7</f>
        <v>-2002710562.9447894</v>
      </c>
    </row>
    <row r="9" spans="1:11" x14ac:dyDescent="0.25">
      <c r="A9" t="s">
        <v>52</v>
      </c>
      <c r="B9" s="18">
        <f>B8*(1-Assumptions!B8)</f>
        <v>-971914751.8055445</v>
      </c>
      <c r="C9" s="18">
        <f>C8*(1-Assumptions!B8)</f>
        <v>-1056122627.0531662</v>
      </c>
      <c r="D9" s="18">
        <f>D8*(1-Assumptions!B8)</f>
        <v>-1139488789.671226</v>
      </c>
      <c r="E9" s="18">
        <f>E8*(1-Assumptions!B8)</f>
        <v>-1220655614.760272</v>
      </c>
      <c r="F9" s="18">
        <f>F8*(1-Assumptions!B8)</f>
        <v>-1298198689.8389544</v>
      </c>
      <c r="G9" s="18">
        <f>G8*(1-Assumptions!B8)</f>
        <v>-1370664929.5449731</v>
      </c>
      <c r="H9" s="18">
        <f>H8*(1-Assumptions!B8)</f>
        <v>-1436615097.2845483</v>
      </c>
      <c r="I9" s="18">
        <f>I8*(1-Assumptions!B8)</f>
        <v>-1494669149.8391876</v>
      </c>
      <c r="J9" s="18">
        <f>J8*(1-Assumptions!B8)</f>
        <v>-1543552531.4403744</v>
      </c>
      <c r="K9" s="18">
        <f>K8*(1-Assumptions!B8)</f>
        <v>-1582141344.7263837</v>
      </c>
    </row>
    <row r="10" spans="1:11" x14ac:dyDescent="0.25">
      <c r="A10" t="s">
        <v>53</v>
      </c>
      <c r="B10" s="18">
        <f>B6*Assumptions!B9</f>
        <v>2329753477.088882</v>
      </c>
      <c r="C10" s="18">
        <f>C6*Assumptions!B9</f>
        <v>2531606149.6529717</v>
      </c>
      <c r="D10" s="18">
        <f>D6*Assumptions!B9</f>
        <v>2731441173.115854</v>
      </c>
      <c r="E10" s="18">
        <f>E6*Assumptions!B9</f>
        <v>2926004217.4818106</v>
      </c>
      <c r="F10" s="18">
        <f>F6*Assumptions!B9</f>
        <v>3111880857.8487935</v>
      </c>
      <c r="G10" s="18">
        <f>G6*Assumptions!B9</f>
        <v>3285587938.241408</v>
      </c>
      <c r="H10" s="18">
        <f>H6*Assumptions!B9</f>
        <v>3443675499.2342176</v>
      </c>
      <c r="I10" s="18">
        <f>I6*Assumptions!B9</f>
        <v>3582835472.418092</v>
      </c>
      <c r="J10" s="18">
        <f>J6*Assumptions!B9</f>
        <v>3700012650.8132744</v>
      </c>
      <c r="K10" s="18">
        <f>K6*Assumptions!B9</f>
        <v>3792512967.083606</v>
      </c>
    </row>
    <row r="11" spans="1:11" x14ac:dyDescent="0.25">
      <c r="A11" t="s">
        <v>54</v>
      </c>
      <c r="B11" s="18">
        <f>-B6*B19</f>
        <v>-254360104.11631706</v>
      </c>
      <c r="C11" s="18">
        <f>-C6*C19</f>
        <v>-294444165.8637899</v>
      </c>
      <c r="D11" s="18">
        <f>-D6*D19</f>
        <v>-337156902.07087415</v>
      </c>
      <c r="E11" s="18">
        <f>-E6*E19</f>
        <v>-382030267.9111192</v>
      </c>
      <c r="F11" s="18">
        <f>-F6*F19</f>
        <v>-428481383.67589545</v>
      </c>
      <c r="G11" s="18">
        <f>-G6*G19</f>
        <v>-475820060.11322796</v>
      </c>
      <c r="H11" s="18">
        <f>-H6*H19</f>
        <v>-523261836.5212621</v>
      </c>
      <c r="I11" s="18">
        <f>-I6*I19</f>
        <v>-569946454.7011206</v>
      </c>
      <c r="J11" s="18">
        <f>-J6*J19</f>
        <v>-614961360.0103934</v>
      </c>
      <c r="K11" s="18">
        <f>-K6*K19</f>
        <v>-657369481.936355</v>
      </c>
    </row>
    <row r="12" spans="1:11" x14ac:dyDescent="0.25">
      <c r="A12" t="s">
        <v>55</v>
      </c>
      <c r="B12" s="18">
        <f>-(B6-Assumptions!B29)*Assumptions!B11</f>
        <v>-181216081.32528463</v>
      </c>
      <c r="C12" s="18">
        <f>-(C6-B6)*Assumptions!B11</f>
        <v>-71282424.89837311</v>
      </c>
      <c r="D12" s="18">
        <f>-(D6-C6)*Assumptions!B11</f>
        <v>-70569910.57442994</v>
      </c>
      <c r="E12" s="18">
        <f>-(E6-D6)*Assumptions!B11</f>
        <v>-68708159.38100432</v>
      </c>
      <c r="F12" s="18">
        <f>-(F6-E6)*Assumptions!B11</f>
        <v>-65640635.26636968</v>
      </c>
      <c r="G12" s="18">
        <f>-(G6-F6)*Assumptions!B11</f>
        <v>-61343066.48068134</v>
      </c>
      <c r="H12" s="18">
        <f>-(H6-G6)*Assumptions!B11</f>
        <v>-55827176.08189698</v>
      </c>
      <c r="I12" s="18">
        <f>-(I6-H6)*Assumptions!B11</f>
        <v>-49143071.58449715</v>
      </c>
      <c r="J12" s="18">
        <f>-(J6-I6)*Assumptions!B11</f>
        <v>-41380048.68925286</v>
      </c>
      <c r="K12" s="18">
        <f>-(K6-J6)*Assumptions!B11</f>
        <v>-32665640.557828806</v>
      </c>
    </row>
    <row r="13" spans="1:11" x14ac:dyDescent="0.25">
      <c r="A13" s="19" t="s">
        <v>56</v>
      </c>
      <c r="B13" s="20">
        <f>B9+B10+B11+B12</f>
        <v>922262539.841736</v>
      </c>
      <c r="C13" s="20">
        <f>C9+C10+C11+C12</f>
        <v>1109756931.8376427</v>
      </c>
      <c r="D13" s="20">
        <f>D9+D10+D11+D12</f>
        <v>1184225570.7993236</v>
      </c>
      <c r="E13" s="20">
        <f>E9+E10+E11+E12</f>
        <v>1254610175.429415</v>
      </c>
      <c r="F13" s="20">
        <f>F9+F10+F11+F12</f>
        <v>1319560149.067574</v>
      </c>
      <c r="G13" s="20">
        <f>G9+G10+G11+G12</f>
        <v>1377759882.1025252</v>
      </c>
      <c r="H13" s="20">
        <f>H9+H10+H11+H12</f>
        <v>1427971389.3465102</v>
      </c>
      <c r="I13" s="20">
        <f>I9+I10+I11+I12</f>
        <v>1469076796.2932863</v>
      </c>
      <c r="J13" s="20">
        <f>J9+J10+J11+J12</f>
        <v>1500118710.6732538</v>
      </c>
      <c r="K13" s="20">
        <f>K9+K10+K11+K12</f>
        <v>1520336499.863038</v>
      </c>
    </row>
    <row r="14" spans="1:11" x14ac:dyDescent="0.25">
      <c r="A14" t="s">
        <v>57</v>
      </c>
      <c r="B14" s="21">
        <f>1/(1+Assumptions!$B$26)^(1-0.5*Assumptions!$B$32)</f>
        <v>0.9588230142519916</v>
      </c>
      <c r="C14" s="21">
        <f>1/(1+Assumptions!$B$26)^(2-0.5*Assumptions!$B$32)</f>
        <v>0.8814858578243323</v>
      </c>
      <c r="D14" s="21">
        <f>1/(1+Assumptions!$B$26)^(3-0.5*Assumptions!$B$32)</f>
        <v>0.8103865948091317</v>
      </c>
      <c r="E14" s="21">
        <f>1/(1+Assumptions!$B$26)^(4-0.5*Assumptions!$B$32)</f>
        <v>0.7450220865338215</v>
      </c>
      <c r="F14" s="21">
        <f>1/(1+Assumptions!$B$26)^(5-0.5*Assumptions!$B$32)</f>
        <v>0.6849297766998979</v>
      </c>
      <c r="G14" s="21">
        <f>1/(1+Assumptions!$B$26)^(6-0.5*Assumptions!$B$32)</f>
        <v>0.6296844180724501</v>
      </c>
      <c r="H14" s="21">
        <f>1/(1+Assumptions!$B$26)^(7-0.5*Assumptions!$B$32)</f>
        <v>0.5788950631897666</v>
      </c>
      <c r="I14" s="21">
        <f>1/(1+Assumptions!$B$26)^(8-0.5*Assumptions!$B$32)</f>
        <v>0.5322022977975703</v>
      </c>
      <c r="J14" s="21">
        <f>1/(1+Assumptions!$B$26)^(9-0.5*Assumptions!$B$32)</f>
        <v>0.489275697430098</v>
      </c>
      <c r="K14" s="21">
        <f>1/(1+Assumptions!$B$26)^(10-0.5*Assumptions!$B$32)</f>
        <v>0.4498114891393499</v>
      </c>
    </row>
    <row r="15" spans="1:11" x14ac:dyDescent="0.25">
      <c r="A15" s="19" t="s">
        <v>58</v>
      </c>
      <c r="B15" s="20">
        <f>B13*B14</f>
        <v>884286548.3827507</v>
      </c>
      <c r="C15" s="20">
        <f>C13*C14</f>
        <v>978235041.0374036</v>
      </c>
      <c r="D15" s="20">
        <f>D13*D14</f>
        <v>959680527.8059641</v>
      </c>
      <c r="E15" s="20">
        <f>E13*E14</f>
        <v>934712290.6849866</v>
      </c>
      <c r="F15" s="20">
        <f>F13*F14</f>
        <v>903806038.2429374</v>
      </c>
      <c r="G15" s="20">
        <f>G13*G14</f>
        <v>867553929.6052961</v>
      </c>
      <c r="H15" s="20">
        <f>H13*H14</f>
        <v>826645587.6689268</v>
      </c>
      <c r="I15" s="20">
        <f>I13*I14</f>
        <v>781846046.6283802</v>
      </c>
      <c r="J15" s="20">
        <f>J13*J14</f>
        <v>733971628.3925956</v>
      </c>
      <c r="K15" s="20">
        <f>K13*K14</f>
        <v>683864824.9963001</v>
      </c>
    </row>
    <row r="17" spans="1:2" x14ac:dyDescent="0.25">
      <c r="A17" s="22" t="s">
        <v>59</v>
      </c>
      <c r="B17" s="23">
        <f>SUM(B15:K15)</f>
        <v>8554602463.44554</v>
      </c>
    </row>
    <row r="19" spans="1:11" x14ac:dyDescent="0.25">
      <c r="A19" t="s">
        <v>7</v>
      </c>
      <c r="B19" s="9">
        <f>Assumptions!$B$10+($B$20-Assumptions!$B$10)*0/9</f>
        <v>0.029796036690671466</v>
      </c>
      <c r="C19" s="9">
        <f>Assumptions!$B$10+($B$20-Assumptions!$B$10)*1/9</f>
        <v>0.03174141523843682</v>
      </c>
      <c r="D19" s="9">
        <f>Assumptions!$B$10+($B$20-Assumptions!$B$10)*2/9</f>
        <v>0.03368679378620218</v>
      </c>
      <c r="E19" s="9">
        <f>Assumptions!$B$10+($B$20-Assumptions!$B$10)*3/9</f>
        <v>0.03563217233396753</v>
      </c>
      <c r="F19" s="9">
        <f>Assumptions!$B$10+($B$20-Assumptions!$B$10)*4/9</f>
        <v>0.03757755088173288</v>
      </c>
      <c r="G19" s="9">
        <f>Assumptions!$B$10+($B$20-Assumptions!$B$10)*5/9</f>
        <v>0.03952292942949824</v>
      </c>
      <c r="H19" s="9">
        <f>Assumptions!$B$10+($B$20-Assumptions!$B$10)*6/9</f>
        <v>0.0414683079772636</v>
      </c>
      <c r="I19" s="9">
        <f>Assumptions!$B$10+($B$20-Assumptions!$B$10)*7/9</f>
        <v>0.04341368652502895</v>
      </c>
      <c r="J19" s="9">
        <f>Assumptions!$B$10+($B$20-Assumptions!$B$10)*8/9</f>
        <v>0.0453590650727943</v>
      </c>
      <c r="K19" s="9">
        <f>Assumptions!$B$10+($B$20-Assumptions!$B$10)*9/9</f>
        <v>0.04730444362055966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0.04730444362055966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1520336499.863038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1154514429.42411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0.2849490136894513</v>
      </c>
    </row>
    <row r="7" spans="1:2" x14ac:dyDescent="0.25">
      <c r="A7" t="s">
        <v>66</v>
      </c>
      <c r="B7" s="18">
        <f>-MAX(B5,0)*B6</f>
        <v>-328977747.95463973</v>
      </c>
    </row>
    <row r="8" spans="1:2" x14ac:dyDescent="0.25">
      <c r="A8" t="s">
        <v>67</v>
      </c>
      <c r="B8" s="18">
        <f>IF(OR(Assumptions!$B$33=0,Assumptions!B12&lt;=0),B5,MAX(B5+B7,0))</f>
        <v>825536681.4694703</v>
      </c>
    </row>
    <row r="9" spans="1:2" x14ac:dyDescent="0.25">
      <c r="A9" t="s">
        <v>68</v>
      </c>
      <c r="B9" s="18">
        <f>B8*(1+Assumptions!B12)/(Assumptions!B26-Assumptions!B12)</f>
        <v>13488087666.140232</v>
      </c>
    </row>
    <row r="10" spans="1:2" x14ac:dyDescent="0.25">
      <c r="A10" t="s">
        <v>69</v>
      </c>
      <c r="B10" s="18">
        <f>B9/(1+Assumptions!B26)^(10-0.5*Assumptions!B32)</f>
        <v>6067096798.748636</v>
      </c>
    </row>
    <row r="11" spans="1:2" x14ac:dyDescent="0.25">
      <c r="A11" t="s">
        <v>70</v>
      </c>
      <c r="B11" s="18">
        <f>Forecast!B17+B10</f>
        <v>14621699262.194176</v>
      </c>
    </row>
    <row r="12" spans="1:2" x14ac:dyDescent="0.25">
      <c r="A12" t="s">
        <v>71</v>
      </c>
      <c r="B12" s="18">
        <f>-Assumptions!B30</f>
        <v>-969000000</v>
      </c>
    </row>
    <row r="13" spans="1:2" x14ac:dyDescent="0.25">
      <c r="A13" t="s">
        <v>72</v>
      </c>
      <c r="B13" s="18">
        <f>B11+B12</f>
        <v>13652699262.194176</v>
      </c>
    </row>
    <row r="14" spans="1:2" x14ac:dyDescent="0.25">
      <c r="A14" s="19" t="s">
        <v>73</v>
      </c>
      <c r="B14" s="24">
        <f>B13/Assumptions!B31</f>
        <v>74.23980022944087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1789802404.1388164</v>
      </c>
    </row>
    <row r="18" spans="1:2" x14ac:dyDescent="0.25">
      <c r="A18" t="s">
        <v>68</v>
      </c>
      <c r="B18" s="18">
        <f>B17*Assumptions!B13</f>
        <v>35796048082.77633</v>
      </c>
    </row>
    <row r="19" spans="1:2" x14ac:dyDescent="0.25">
      <c r="A19" t="s">
        <v>69</v>
      </c>
      <c r="B19" s="18">
        <f>B18/(1+Assumptions!B26)^(10-0.5*Assumptions!B32)</f>
        <v>16101473693.41739</v>
      </c>
    </row>
    <row r="20" spans="1:2" x14ac:dyDescent="0.25">
      <c r="A20" t="s">
        <v>70</v>
      </c>
      <c r="B20" s="18">
        <f>Forecast!B17+B19</f>
        <v>24656076156.86293</v>
      </c>
    </row>
    <row r="21" spans="1:2" x14ac:dyDescent="0.25">
      <c r="A21" t="s">
        <v>71</v>
      </c>
      <c r="B21" s="18">
        <f>-Assumptions!B30</f>
        <v>-969000000</v>
      </c>
    </row>
    <row r="22" spans="1:2" x14ac:dyDescent="0.25">
      <c r="A22" t="s">
        <v>72</v>
      </c>
      <c r="B22" s="18">
        <f>B20+B21</f>
        <v>23687076156.86293</v>
      </c>
    </row>
    <row r="23" spans="1:2" x14ac:dyDescent="0.25">
      <c r="A23" s="19" t="s">
        <v>73</v>
      </c>
      <c r="B23" s="25">
        <f>B22/Assumptions!B31</f>
        <v>128.80411178283268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190.17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74.23980022944087</v>
      </c>
    </row>
    <row r="29" spans="1:2" x14ac:dyDescent="0.25">
      <c r="A29" s="19" t="s">
        <v>81</v>
      </c>
      <c r="B29" s="11">
        <f>B28/B26-1</f>
        <v>-0.6096135025007052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0.067735</v>
      </c>
      <c r="B5" s="31">
        <v>97.20465654497029</v>
      </c>
      <c r="C5" s="31">
        <v>96.11269044084314</v>
      </c>
      <c r="D5" s="31">
        <v>95.02072433671597</v>
      </c>
      <c r="E5" s="31">
        <v>93.92875823258882</v>
      </c>
      <c r="F5" s="31">
        <v>92.83679212846165</v>
      </c>
    </row>
    <row r="6" spans="1:6" x14ac:dyDescent="0.25">
      <c r="A6" s="30">
        <v>0.077735</v>
      </c>
      <c r="B6" s="31">
        <v>85.16099548672591</v>
      </c>
      <c r="C6" s="31">
        <v>84.26199554995132</v>
      </c>
      <c r="D6" s="31">
        <v>83.36299561317675</v>
      </c>
      <c r="E6" s="31">
        <v>82.46399567640219</v>
      </c>
      <c r="F6" s="31">
        <v>81.56499573962759</v>
      </c>
    </row>
    <row r="7" spans="1:6" x14ac:dyDescent="0.25">
      <c r="A7" s="30">
        <v>0.087735</v>
      </c>
      <c r="B7" s="31">
        <v>75.7462688297316</v>
      </c>
      <c r="C7" s="31">
        <v>74.9930320785332</v>
      </c>
      <c r="D7" s="32">
        <v>74.23979532733478</v>
      </c>
      <c r="E7" s="31">
        <v>73.48655857613636</v>
      </c>
      <c r="F7" s="31">
        <v>72.73332182493793</v>
      </c>
    </row>
    <row r="8" spans="1:6" x14ac:dyDescent="0.25">
      <c r="A8" s="30">
        <v>0.097735</v>
      </c>
      <c r="B8" s="31">
        <v>68.16579697766814</v>
      </c>
      <c r="C8" s="31">
        <v>67.5258416146066</v>
      </c>
      <c r="D8" s="31">
        <v>66.88588625154509</v>
      </c>
      <c r="E8" s="31">
        <v>66.24593088848357</v>
      </c>
      <c r="F8" s="31">
        <v>65.60597552542204</v>
      </c>
    </row>
    <row r="9" spans="1:6" x14ac:dyDescent="0.25">
      <c r="A9" s="30">
        <v>0.107735</v>
      </c>
      <c r="B9" s="31">
        <v>61.91864268567218</v>
      </c>
      <c r="C9" s="31">
        <v>61.36872334355971</v>
      </c>
      <c r="D9" s="31">
        <v>60.818804001447255</v>
      </c>
      <c r="E9" s="31">
        <v>60.268884659334795</v>
      </c>
      <c r="F9" s="31">
        <v>59.71896531722232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6656400000</v>
      </c>
      <c r="C5" s="18">
        <v>5633600000</v>
      </c>
      <c r="D5" s="18">
        <v>5349600000</v>
      </c>
      <c r="E5" s="18">
        <v>5349900000</v>
      </c>
      <c r="F5" s="6" t="s">
        <v>91</v>
      </c>
    </row>
    <row r="6" spans="1:6" x14ac:dyDescent="0.25">
      <c r="A6" t="s">
        <v>51</v>
      </c>
      <c r="B6" s="18">
        <v>-108600000</v>
      </c>
      <c r="C6" s="18">
        <v>-739400000</v>
      </c>
      <c r="D6" s="18">
        <v>-1143900000</v>
      </c>
      <c r="E6" s="18">
        <v>-1150600000</v>
      </c>
      <c r="F6" s="6" t="s">
        <v>92</v>
      </c>
    </row>
    <row r="7" spans="1:6" x14ac:dyDescent="0.25">
      <c r="A7" t="s">
        <v>93</v>
      </c>
      <c r="B7" s="18">
        <v>1278000000</v>
      </c>
      <c r="C7" s="18">
        <v>1342200000</v>
      </c>
      <c r="D7" s="18">
        <v>1761600000</v>
      </c>
      <c r="E7" s="18">
        <v>1776700000</v>
      </c>
      <c r="F7" s="6" t="s">
        <v>94</v>
      </c>
    </row>
    <row r="8" spans="1:6" x14ac:dyDescent="0.25">
      <c r="A8" t="s">
        <v>95</v>
      </c>
      <c r="B8" s="18">
        <v>162800000</v>
      </c>
      <c r="C8" s="18">
        <v>169400000</v>
      </c>
      <c r="D8" s="18">
        <v>141700000</v>
      </c>
      <c r="E8" s="18">
        <v>204200000</v>
      </c>
      <c r="F8" s="6" t="s">
        <v>96</v>
      </c>
    </row>
    <row r="9" spans="1:6" x14ac:dyDescent="0.25">
      <c r="A9" t="s">
        <v>97</v>
      </c>
      <c r="B9" s="18">
        <v>1007200000</v>
      </c>
      <c r="C9" s="18">
        <v>1243800000</v>
      </c>
      <c r="D9" s="18">
        <v>887100000</v>
      </c>
      <c r="E9" s="18">
        <v>855800000</v>
      </c>
      <c r="F9" s="6" t="s">
        <v>98</v>
      </c>
    </row>
    <row r="10" spans="1:6" x14ac:dyDescent="0.25">
      <c r="A10" t="s">
        <v>99</v>
      </c>
      <c r="B10" s="18">
        <v>2958300000</v>
      </c>
      <c r="C10" s="18">
        <v>4105900000</v>
      </c>
      <c r="D10" s="18">
        <v>3534000000</v>
      </c>
      <c r="E10" s="18">
        <v>3487000000</v>
      </c>
      <c r="F10" s="6" t="s">
        <v>100</v>
      </c>
    </row>
    <row r="11" spans="1:6" x14ac:dyDescent="0.25">
      <c r="A11" t="s">
        <v>101</v>
      </c>
      <c r="B11" s="18">
        <v>1989300000</v>
      </c>
      <c r="C11" s="18">
        <v>1465500000</v>
      </c>
      <c r="D11" s="18">
        <v>776000000</v>
      </c>
      <c r="E11" s="18">
        <v>1014400000</v>
      </c>
      <c r="F11" s="6" t="s">
        <v>102</v>
      </c>
    </row>
    <row r="12" spans="1:6" x14ac:dyDescent="0.25">
      <c r="A12" t="s">
        <v>34</v>
      </c>
      <c r="B12" s="34">
        <v>183900000</v>
      </c>
      <c r="C12" s="34">
        <v>175100000</v>
      </c>
      <c r="D12" s="34">
        <v>170100000</v>
      </c>
      <c r="E12" s="34">
        <v>159900000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