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<sst xmlns="http://schemas.openxmlformats.org/spreadsheetml/2006/main" count="113" uniqueCount="101">
  <si>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Treasury Wine Estates Limited (TWE.AX)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</si>
  <si>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</si>
  <si>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</si>
  <si>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</si>
  <si>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</si>
  <si>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</si>
  <si>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</si>
  <si>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</si>
  <si>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</si>
  <si>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</si>
  <si>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</si>
  <si>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</si>
  <si>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</si>
  <si>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</si>
  <si>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</si>
  <si>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</si>
  <si>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</si>
  <si>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</si>
  <si>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</si>
  <si>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</si>
  <si>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</si>
  <si>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</si>
  <si>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</si>
  <si>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</si>
  <si>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</si>
  <si>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</si>
  <si>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</si>
  <si>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</si>
  <si>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</si>
  <si>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</si>
  <si>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</si>
  <si>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</si>
  <si>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</si>
  <si>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</si>
  <si>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</si>
  <si>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</si>
  <si>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</si>
  <si>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</si>
  <si>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</si>
  <si>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</si>
  <si>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</si>
  <si>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</si>
  <si>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</si>
  <si>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</si>
  <si>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</si>
  <si>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</si>
  <si>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</si>
  <si>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</si>
  <si>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</si>
  <si>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</si>
  <si>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</si>
  <si>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</si>
  <si>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</si>
  <si>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</si>
  <si>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</si>
  <si>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</si>
  <si>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</si>
  <si>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</si>
  <si>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</si>
  <si>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</si>
  <si>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</si>
  <si>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</si>
  <si>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</si>
  <si>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</si>
  <si>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</si>
  <si>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</si>
  <si>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</si>
  <si>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</si>
  <si>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</si>
  <si>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</si>
  <si>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</si>
  <si>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</si>
  <si>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</si>
  <si>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</si>
  <si>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</si>
  <si>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</si>
  <si>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</si>
  <si>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</si>
  <si>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</si>
  <si>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</si>
  <si>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</si>
  <si>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</si>
  <si>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</si>
  <si>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</si>
  <si>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</si>
  <si>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</si>
  <si>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</si>
  <si>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</si>
  <si>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</si>
  <si>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</si>
  <si>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</si>
  <si>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</si>
  <si>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</si>
  <si>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</si>
  <si>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</si>
  <si>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</si>
  <si>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</si>
  <si>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</si>
  <si>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</si>
  <si>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Current EV/EBITDA of 26.7x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</si>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</sst>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0.018635298149885404</v>
      </c>
    </row>
    <row r="7" spans="1:2" x14ac:dyDescent="0.25">
      <c r="A7" t="s">
        <v>5</v>
      </c>
      <c r="B7" s="6">
        <v>0.07243539776401434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0.06117644878530639</v>
      </c>
    </row>
    <row r="10" spans="1:2" x14ac:dyDescent="0.25">
      <c r="A10" t="s">
        <v>8</v>
      </c>
      <c r="B10" s="6">
        <v>0.06576328352608314</v>
      </c>
    </row>
    <row r="11" spans="1:2" x14ac:dyDescent="0.25">
      <c r="A11" t="s">
        <v>9</v>
      </c>
      <c r="B11" s="6">
        <v>-0.0098117210289048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0.08244078006494343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0.56517</v>
      </c>
      <c r="C19" s="8" t="s">
        <v>19</v>
      </c>
    </row>
    <row r="20" spans="1:2" x14ac:dyDescent="0.25">
      <c r="A20" t="s">
        <v>20</v>
      </c>
      <c r="B20" s="10">
        <f>B17+B19*B18</f>
        <v>0.0873902</v>
      </c>
    </row>
    <row r="21" spans="1:3" x14ac:dyDescent="0.25">
      <c r="A21" t="s">
        <v>21</v>
      </c>
      <c r="B21" s="6">
        <v>0.10302004624222344</v>
      </c>
      <c r="C21" s="8" t="s">
        <v>22</v>
      </c>
    </row>
    <row r="22" spans="1:2" x14ac:dyDescent="0.25">
      <c r="A22" t="s">
        <v>23</v>
      </c>
      <c r="B22" s="11">
        <v>4166027008</v>
      </c>
    </row>
    <row r="23" spans="1:2" x14ac:dyDescent="0.25">
      <c r="A23" t="s">
        <v>24</v>
      </c>
      <c r="B23" s="11">
        <v>1996700000</v>
      </c>
    </row>
    <row r="24" spans="1:2" x14ac:dyDescent="0.25">
      <c r="A24" t="s">
        <v>25</v>
      </c>
      <c r="B24" s="10">
        <f>B22/(B22+B23)</f>
        <v>0.6760038214563081</v>
      </c>
    </row>
    <row r="25" spans="1:2" x14ac:dyDescent="0.25">
      <c r="A25" t="s">
        <v>26</v>
      </c>
      <c r="B25" s="10">
        <f>1-B24</f>
        <v>0.3239961785436919</v>
      </c>
    </row>
    <row r="26" spans="1:2" x14ac:dyDescent="0.25">
      <c r="A26" t="s">
        <v>27</v>
      </c>
      <c r="B26" s="12">
        <f>B24*B20+B25*B21*(1-B8)</f>
        <v>0.08244078006494343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2561000000</v>
      </c>
      <c r="C29" s="8" t="s">
        <v>30</v>
      </c>
    </row>
    <row r="30" spans="1:2" x14ac:dyDescent="0.25">
      <c r="A30" t="s">
        <v>31</v>
      </c>
      <c r="B30" s="11">
        <v>1774900000</v>
      </c>
    </row>
    <row r="31" spans="1:2" x14ac:dyDescent="0.25">
      <c r="A31" t="s">
        <v>32</v>
      </c>
      <c r="B31" s="13">
        <v>807437260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0.018635298149885404</v>
      </c>
      <c r="C5" s="10">
        <f>Assumptions!B6</f>
        <v>0.018635298149885404</v>
      </c>
      <c r="D5" s="10">
        <f>Assumptions!B6</f>
        <v>0.018635298149885404</v>
      </c>
      <c r="E5" s="10">
        <f>Assumptions!B6</f>
        <v>0.018635298149885404</v>
      </c>
      <c r="F5" s="10">
        <f>Assumptions!B6</f>
        <v>0.018635298149885404</v>
      </c>
    </row>
    <row r="6" spans="1:6" x14ac:dyDescent="0.25">
      <c r="A6" t="s">
        <v>43</v>
      </c>
      <c r="B6" s="18">
        <f>Assumptions!B29*(1+B5)</f>
        <v>2608724998.5618567</v>
      </c>
      <c r="C6" s="18">
        <f>B6*(1+C5)</f>
        <v>2657339366.701116</v>
      </c>
      <c r="D6" s="18">
        <f>C6*(1+D5)</f>
        <v>2706859678.085019</v>
      </c>
      <c r="E6" s="18">
        <f>D6*(1+E5)</f>
        <v>2757302815.2360363</v>
      </c>
      <c r="F6" s="18">
        <f>E6*(1+F5)</f>
        <v>2808685975.2874784</v>
      </c>
    </row>
    <row r="7" spans="1:6" x14ac:dyDescent="0.25">
      <c r="A7" t="s">
        <v>5</v>
      </c>
      <c r="B7" s="10">
        <f>Assumptions!B7</f>
        <v>0.07243539776401434</v>
      </c>
      <c r="C7" s="10">
        <f>Assumptions!B7</f>
        <v>0.07243539776401434</v>
      </c>
      <c r="D7" s="10">
        <f>Assumptions!B7</f>
        <v>0.07243539776401434</v>
      </c>
      <c r="E7" s="10">
        <f>Assumptions!B7</f>
        <v>0.07243539776401434</v>
      </c>
      <c r="F7" s="10">
        <f>Assumptions!B7</f>
        <v>0.07243539776401434</v>
      </c>
    </row>
    <row r="8" spans="1:6" x14ac:dyDescent="0.25">
      <c r="A8" t="s">
        <v>44</v>
      </c>
      <c r="B8" s="18">
        <f>B6*B7</f>
        <v>188964032.92775583</v>
      </c>
      <c r="C8" s="18">
        <f>C6*C7</f>
        <v>192485434.0209693</v>
      </c>
      <c r="D8" s="18">
        <f>D6*D7</f>
        <v>196072457.47346017</v>
      </c>
      <c r="E8" s="18">
        <f>E6*E7</f>
        <v>199726326.17745882</v>
      </c>
      <c r="F8" s="18">
        <f>F6*F7</f>
        <v>203448285.81415704</v>
      </c>
    </row>
    <row r="9" spans="1:6" x14ac:dyDescent="0.25">
      <c r="A9" t="s">
        <v>45</v>
      </c>
      <c r="B9" s="18">
        <f>B8*(1-Assumptions!B8)</f>
        <v>132274823.04942907</v>
      </c>
      <c r="C9" s="18">
        <f>C8*(1-Assumptions!B8)</f>
        <v>134739803.8146785</v>
      </c>
      <c r="D9" s="18">
        <f>D8*(1-Assumptions!B8)</f>
        <v>137250720.2314221</v>
      </c>
      <c r="E9" s="18">
        <f>E8*(1-Assumptions!B8)</f>
        <v>139808428.32422116</v>
      </c>
      <c r="F9" s="18">
        <f>F8*(1-Assumptions!B8)</f>
        <v>142413800.06990993</v>
      </c>
    </row>
    <row r="10" spans="1:6" x14ac:dyDescent="0.25">
      <c r="A10" t="s">
        <v>46</v>
      </c>
      <c r="B10" s="18">
        <f>B6*Assumptions!B9</f>
        <v>159592531.26946792</v>
      </c>
      <c r="C10" s="18">
        <f>C6*Assumptions!B9</f>
        <v>162566585.67216936</v>
      </c>
      <c r="D10" s="18">
        <f>D6*Assumptions!B9</f>
        <v>165596062.46537912</v>
      </c>
      <c r="E10" s="18">
        <f>E6*Assumptions!B9</f>
        <v>168681994.4618685</v>
      </c>
      <c r="F10" s="18">
        <f>F6*Assumptions!B9</f>
        <v>171825433.72118276</v>
      </c>
    </row>
    <row r="11" spans="1:6" x14ac:dyDescent="0.25">
      <c r="A11" t="s">
        <v>47</v>
      </c>
      <c r="B11" s="18">
        <f>-B6*Assumptions!B10</f>
        <v>-171558321.7220042</v>
      </c>
      <c r="C11" s="18">
        <f>-C6*Assumptions!B10</f>
        <v>-174755362.19738773</v>
      </c>
      <c r="D11" s="18">
        <f>-D6*Assumptions!B10</f>
        <v>-178011980.47522727</v>
      </c>
      <c r="E11" s="18">
        <f>-E6*Assumptions!B10</f>
        <v>-181329286.8056347</v>
      </c>
      <c r="F11" s="18">
        <f>-F6*Assumptions!B10</f>
        <v>-184708412.1285638</v>
      </c>
    </row>
    <row r="12" spans="1:6" x14ac:dyDescent="0.25">
      <c r="A12" t="s">
        <v>48</v>
      </c>
      <c r="B12" s="18">
        <f>-(B6-Assumptions!B29)*Assumptions!B11</f>
        <v>468264.3719938212</v>
      </c>
      <c r="C12" s="18">
        <f>-(C6-B6)*Assumptions!B11</f>
        <v>476990.6181788903</v>
      </c>
      <c r="D12" s="18">
        <f>-(D6-C6)*Assumptions!B11</f>
        <v>485879.480563355</v>
      </c>
      <c r="E12" s="18">
        <f>-(E6-D6)*Assumptions!B11</f>
        <v>494933.9895485643</v>
      </c>
      <c r="F12" s="18">
        <f>-(F6-E6)*Assumptions!B11</f>
        <v>504157.2320083159</v>
      </c>
    </row>
    <row r="13" spans="1:6" x14ac:dyDescent="0.25">
      <c r="A13" s="19" t="s">
        <v>49</v>
      </c>
      <c r="B13" s="20">
        <f>B9+B10+B11+B12</f>
        <v>120777296.96888663</v>
      </c>
      <c r="C13" s="20">
        <f>C9+C10+C11+C12</f>
        <v>123028017.90763904</v>
      </c>
      <c r="D13" s="20">
        <f>D9+D10+D11+D12</f>
        <v>125320681.70213728</v>
      </c>
      <c r="E13" s="20">
        <f>E9+E10+E11+E12</f>
        <v>127656069.97000352</v>
      </c>
      <c r="F13" s="20">
        <f>F9+F10+F11+F12</f>
        <v>130034978.89453723</v>
      </c>
    </row>
    <row r="14" spans="1:6" x14ac:dyDescent="0.25">
      <c r="A14" t="s">
        <v>50</v>
      </c>
      <c r="B14" s="21">
        <f>1/(1+Assumptions!$B$26)^(1-0.5*Assumptions!$B$32)</f>
        <v>0.9611649540753527</v>
      </c>
      <c r="C14" s="21">
        <f>1/(1+Assumptions!$B$26)^(2-0.5*Assumptions!$B$32)</f>
        <v>0.8879607751083486</v>
      </c>
      <c r="D14" s="21">
        <f>1/(1+Assumptions!$B$26)^(3-0.5*Assumptions!$B$32)</f>
        <v>0.8203319677729377</v>
      </c>
      <c r="E14" s="21">
        <f>1/(1+Assumptions!$B$26)^(4-0.5*Assumptions!$B$32)</f>
        <v>0.7578539009992955</v>
      </c>
      <c r="F14" s="21">
        <f>1/(1+Assumptions!$B$26)^(5-0.5*Assumptions!$B$32)</f>
        <v>0.7001342844398623</v>
      </c>
    </row>
    <row r="15" spans="1:6" x14ac:dyDescent="0.25">
      <c r="A15" s="19" t="s">
        <v>51</v>
      </c>
      <c r="B15" s="20">
        <f>B13*B14</f>
        <v>116086905.09444515</v>
      </c>
      <c r="C15" s="20">
        <f>C13*C14</f>
        <v>109244054.14131096</v>
      </c>
      <c r="D15" s="20">
        <f>D13*D14</f>
        <v>102804561.42336026</v>
      </c>
      <c r="E15" s="20">
        <f>E13*E14</f>
        <v>96744650.61300619</v>
      </c>
      <c r="F15" s="20">
        <f>F13*F14</f>
        <v>91041946.9004794</v>
      </c>
    </row>
    <row r="17" spans="1:2" x14ac:dyDescent="0.25">
      <c r="A17" s="22" t="s">
        <v>52</v>
      </c>
      <c r="B17" s="23">
        <f>SUM(B15:F15)</f>
        <v>515922118.17260194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130034978.89453723</v>
      </c>
    </row>
    <row r="5" spans="1:2" x14ac:dyDescent="0.25">
      <c r="A5" t="s">
        <v>56</v>
      </c>
      <c r="B5" s="18">
        <f>IF(Assumptions!$B$33=0,B4,B4-Forecast!F11-Forecast!F10-Forecast!F12)</f>
        <v>142413800.06990993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0.3032479797050202</v>
      </c>
    </row>
    <row r="7" spans="1:2" x14ac:dyDescent="0.25">
      <c r="A7" t="s">
        <v>58</v>
      </c>
      <c r="B7" s="18">
        <f>-MAX(Forecast!F9,0)*B6</f>
        <v>-43186697.15331485</v>
      </c>
    </row>
    <row r="8" spans="1:2" x14ac:dyDescent="0.25">
      <c r="A8" t="s">
        <v>59</v>
      </c>
      <c r="B8" s="18">
        <f>IF(OR(Assumptions!$B$33=0,Assumptions!B12&lt;=0),B5,MAX(B5+B7,0))</f>
        <v>99227102.91659507</v>
      </c>
    </row>
    <row r="9" spans="1:2" x14ac:dyDescent="0.25">
      <c r="A9" t="s">
        <v>60</v>
      </c>
      <c r="B9" s="18">
        <f>B8*(1+Assumptions!B12)/(Assumptions!B26-Assumptions!B12)</f>
        <v>1770654583.2859087</v>
      </c>
    </row>
    <row r="10" spans="1:2" x14ac:dyDescent="0.25">
      <c r="A10" t="s">
        <v>61</v>
      </c>
      <c r="B10" s="18">
        <f>B9/(1+Assumptions!B26)^(5-0.5*Assumptions!B32)</f>
        <v>1239695979.6590421</v>
      </c>
    </row>
    <row r="11" spans="1:2" x14ac:dyDescent="0.25">
      <c r="A11" t="s">
        <v>62</v>
      </c>
      <c r="B11" s="18">
        <f>Forecast!B17+B10</f>
        <v>1755618097.831644</v>
      </c>
    </row>
    <row r="12" spans="1:2" x14ac:dyDescent="0.25">
      <c r="A12" t="s">
        <v>63</v>
      </c>
      <c r="B12" s="18">
        <f>-Assumptions!B30</f>
        <v>-1774900000</v>
      </c>
    </row>
    <row r="13" spans="1:2" x14ac:dyDescent="0.25">
      <c r="A13" t="s">
        <v>64</v>
      </c>
      <c r="B13" s="18">
        <f>B11+B12</f>
        <v>-19281902.16835594</v>
      </c>
    </row>
    <row r="14" spans="1:2" x14ac:dyDescent="0.25">
      <c r="A14" s="19" t="s">
        <v>65</v>
      </c>
      <c r="B14" s="24">
        <f>B13/Assumptions!B31</f>
        <v>-0.023880372040740283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375273719.53533983</v>
      </c>
    </row>
    <row r="18" spans="1:2" x14ac:dyDescent="0.25">
      <c r="A18" t="s">
        <v>60</v>
      </c>
      <c r="B18" s="18">
        <f>B17*Assumptions!B13</f>
        <v>7505474390.706797</v>
      </c>
    </row>
    <row r="19" spans="1:2" x14ac:dyDescent="0.25">
      <c r="A19" t="s">
        <v>61</v>
      </c>
      <c r="B19" s="18">
        <f>B18/(1+Assumptions!B26)^(5-0.5*Assumptions!B32)</f>
        <v>5254839941.919214</v>
      </c>
    </row>
    <row r="20" spans="1:2" x14ac:dyDescent="0.25">
      <c r="A20" t="s">
        <v>62</v>
      </c>
      <c r="B20" s="18">
        <f>Forecast!B17+B19</f>
        <v>5770762060.091816</v>
      </c>
    </row>
    <row r="21" spans="1:2" x14ac:dyDescent="0.25">
      <c r="A21" t="s">
        <v>63</v>
      </c>
      <c r="B21" s="18">
        <f>-Assumptions!B30</f>
        <v>-1774900000</v>
      </c>
    </row>
    <row r="22" spans="1:2" x14ac:dyDescent="0.25">
      <c r="A22" t="s">
        <v>64</v>
      </c>
      <c r="B22" s="18">
        <f>B20+B21</f>
        <v>3995862060.091816</v>
      </c>
    </row>
    <row r="23" spans="1:2" x14ac:dyDescent="0.25">
      <c r="A23" s="19" t="s">
        <v>65</v>
      </c>
      <c r="B23" s="25">
        <f>B22/Assumptions!B31</f>
        <v>4.948820494228636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-0.023880372040740283</v>
      </c>
    </row>
    <row r="29" spans="1:2" x14ac:dyDescent="0.25">
      <c r="A29" s="19" t="s">
        <v>73</v>
      </c>
      <c r="B29" s="12">
        <f>B28/B26-1</f>
        <v>-1.004636965444804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0.062441</v>
      </c>
      <c r="B5" s="31">
        <v>0.65305829419961</v>
      </c>
      <c r="C5" s="31">
        <v>0.6638123365989941</v>
      </c>
      <c r="D5" s="31">
        <v>0.6745663789983788</v>
      </c>
      <c r="E5" s="31">
        <v>0.6853204213977634</v>
      </c>
      <c r="F5" s="31">
        <v>0.6960744637971469</v>
      </c>
    </row>
    <row r="6" spans="1:6" x14ac:dyDescent="0.25">
      <c r="A6" s="30">
        <v>0.072441</v>
      </c>
      <c r="B6" s="31">
        <v>0.2591255991680887</v>
      </c>
      <c r="C6" s="31">
        <v>0.2680124627952829</v>
      </c>
      <c r="D6" s="31">
        <v>0.2768993264224759</v>
      </c>
      <c r="E6" s="31">
        <v>0.2857861900496695</v>
      </c>
      <c r="F6" s="31">
        <v>0.2946730536768625</v>
      </c>
    </row>
    <row r="7" spans="1:6" x14ac:dyDescent="0.25">
      <c r="A7" s="30">
        <v>0.082441</v>
      </c>
      <c r="B7" s="31">
        <v>-0.03886511733566938</v>
      </c>
      <c r="C7" s="31">
        <v>-0.03137564899030022</v>
      </c>
      <c r="D7" s="32">
        <v>-0.023886180644930467</v>
      </c>
      <c r="E7" s="31">
        <v>-0.016396712299560717</v>
      </c>
      <c r="F7" s="31">
        <v>-0.008907243954190965</v>
      </c>
    </row>
    <row r="8" spans="1:6" x14ac:dyDescent="0.25">
      <c r="A8" s="30">
        <v>0.092441</v>
      </c>
      <c r="B8" s="31">
        <v>-0.2720702723698683</v>
      </c>
      <c r="C8" s="31">
        <v>-0.26566175305033957</v>
      </c>
      <c r="D8" s="31">
        <v>-0.2592532337308114</v>
      </c>
      <c r="E8" s="31">
        <v>-0.25284471441128287</v>
      </c>
      <c r="F8" s="31">
        <v>-0.2464361950917544</v>
      </c>
    </row>
    <row r="9" spans="1:6" x14ac:dyDescent="0.25">
      <c r="A9" s="30">
        <v>0.102441</v>
      </c>
      <c r="B9" s="31">
        <v>-0.45947947000957884</v>
      </c>
      <c r="C9" s="31">
        <v>-0.4539288642761121</v>
      </c>
      <c r="D9" s="31">
        <v>-0.44837825854264574</v>
      </c>
      <c r="E9" s="31">
        <v>-0.4428276528091788</v>
      </c>
      <c r="F9" s="31">
        <v>-0.4372770470757121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2561000000</v>
      </c>
      <c r="C5" s="18">
        <v>2938100000</v>
      </c>
      <c r="D5" s="18">
        <v>2739800000</v>
      </c>
      <c r="E5" s="18">
        <v>2423000000</v>
      </c>
      <c r="F5" s="8" t="s">
        <v>84</v>
      </c>
    </row>
    <row r="6" spans="1:6" x14ac:dyDescent="0.25">
      <c r="A6" t="s">
        <v>44</v>
      </c>
      <c r="B6" s="18">
        <v>57500000</v>
      </c>
      <c r="C6" s="18">
        <v>518100000</v>
      </c>
      <c r="D6" s="18">
        <v>42600000</v>
      </c>
      <c r="E6" s="18">
        <v>182700000</v>
      </c>
      <c r="F6" s="8" t="s">
        <v>85</v>
      </c>
    </row>
    <row r="7" spans="1:6" x14ac:dyDescent="0.25">
      <c r="A7" t="s">
        <v>86</v>
      </c>
      <c r="B7" s="18">
        <v>165300000</v>
      </c>
      <c r="C7" s="18">
        <v>166500000</v>
      </c>
      <c r="D7" s="18">
        <v>155500000</v>
      </c>
      <c r="E7" s="18">
        <v>161700000</v>
      </c>
      <c r="F7" s="8" t="s">
        <v>87</v>
      </c>
    </row>
    <row r="8" spans="1:6" x14ac:dyDescent="0.25">
      <c r="A8" t="s">
        <v>88</v>
      </c>
      <c r="B8" s="18">
        <v>113300000</v>
      </c>
      <c r="C8" s="18">
        <v>137100000</v>
      </c>
      <c r="D8" s="18">
        <v>190100000</v>
      </c>
      <c r="E8" s="18">
        <v>249000000</v>
      </c>
      <c r="F8" s="8" t="s">
        <v>89</v>
      </c>
    </row>
    <row r="9" spans="1:6" x14ac:dyDescent="0.25">
      <c r="A9" t="s">
        <v>90</v>
      </c>
      <c r="B9" s="18">
        <v>3700000</v>
      </c>
      <c r="C9" s="18">
        <v>-49900000</v>
      </c>
      <c r="D9" s="18">
        <v>58300000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1996700000</v>
      </c>
      <c r="C10" s="18">
        <v>2198600000</v>
      </c>
      <c r="D10" s="18">
        <v>2158500000</v>
      </c>
      <c r="E10" s="18">
        <v>1937600000</v>
      </c>
      <c r="F10" s="8" t="s">
        <v>93</v>
      </c>
    </row>
    <row r="11" spans="1:6" x14ac:dyDescent="0.25">
      <c r="A11" t="s">
        <v>94</v>
      </c>
      <c r="B11" s="18">
        <v>221800000</v>
      </c>
      <c r="C11" s="18">
        <v>427700000</v>
      </c>
      <c r="D11" s="18">
        <v>458100000</v>
      </c>
      <c r="E11" s="18">
        <v>565800000</v>
      </c>
      <c r="F11" s="8" t="s">
        <v>95</v>
      </c>
    </row>
    <row r="12" spans="1:6" x14ac:dyDescent="0.25">
      <c r="A12" t="s">
        <v>32</v>
      </c>
      <c r="B12" s="34">
        <v>807437260</v>
      </c>
      <c r="C12" s="34">
        <v>811426000</v>
      </c>
      <c r="D12" s="34">
        <v>784920635</v>
      </c>
      <c r="E12" s="34">
        <v>729346520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2026-09-19T01:05:13Z</dcterms:modified>
</cp:coreProperties>
</file>