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<sst xmlns="http://schemas.openxmlformats.org/spreadsheetml/2006/main" count="121" uniqueCount="108">
  <si>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Texas Instruments Incorporated (TXN)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</si>
  <si>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</si>
  <si>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</si>
  <si>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</si>
  <si>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</si>
  <si>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</si>
  <si>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</si>
  <si>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</si>
  <si>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</si>
  <si>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</si>
  <si>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</si>
  <si>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</si>
  <si>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</si>
  <si>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</si>
  <si>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</si>
  <si>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</si>
  <si>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</si>
  <si>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</si>
  <si>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</si>
  <si>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</si>
  <si>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</si>
  <si>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</si>
  <si>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</si>
  <si>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</si>
  <si>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11.3x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</si>
  <si>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</si>
  <si>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</si>
  <si>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</si>
  <si>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</si>
  <si>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</si>
  <si>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</si>
  <si>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</si>
  <si>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</si>
  <si>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</si>
  <si>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</si>
  <si>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</si>
  <si>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</si>
  <si>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</si>
  <si>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</si>
  <si>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</si>
  <si>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</si>
  <si>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</si>
  <si>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</si>
  <si>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</si>
  <si>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</si>
  <si>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</si>
  <si>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</si>
  <si>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</si>
  <si>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</si>
  <si>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</si>
  <si>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</si>
  <si>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</si>
  <si>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</si>
  <si>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</si>
  <si>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</si>
  <si>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</si>
  <si>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</si>
  <si>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</si>
  <si>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</si>
  <si>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</si>
  <si>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</si>
  <si>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</si>
  <si>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</si>
  <si>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</si>
  <si>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</si>
  <si>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</si>
  <si>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</si>
  <si>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</si>
  <si>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</si>
  <si>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</si>
  <si>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</si>
  <si>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</si>
  <si>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</si>
  <si>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</si>
  <si>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</si>
  <si>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</si>
  <si>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</si>
  <si>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</si>
  <si>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</si>
  <si>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</si>
  <si>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</si>
  <si>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</si>
  <si>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</si>
  <si>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</si>
  <si>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</si>
  <si>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</si>
  <si>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</si>
  <si>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</si>
  <si>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</si>
  <si>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</si>
  <si>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</si>
  <si>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</si>
  <si>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</si>
  <si>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</si>
  <si>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</si>
  <si>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</si>
  <si>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</si>
  <si>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</si>
  <si>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</si>
  <si>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</si>
  <si>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</si>
  <si>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</si>
  <si>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</si>
  <si>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</si>
  <si>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</si>
  <si>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24.9% of revenue against depreciation of 8.3%.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</si>
  <si>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35.1x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</si>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</sst>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0.2667875370433208</v>
      </c>
    </row>
    <row r="7" spans="1:2" x14ac:dyDescent="0.25">
      <c r="A7" t="s">
        <v>4</v>
      </c>
      <c r="B7" s="5">
        <v>0.4065758255507937</v>
      </c>
    </row>
    <row r="8" spans="1:2" x14ac:dyDescent="0.25">
      <c r="A8" t="s">
        <v>5</v>
      </c>
      <c r="B8" s="5">
        <v>0.12328654350023774</v>
      </c>
    </row>
    <row r="9" spans="1:2" x14ac:dyDescent="0.25">
      <c r="A9" t="s">
        <v>6</v>
      </c>
      <c r="B9" s="5">
        <v>0.08340427021052793</v>
      </c>
    </row>
    <row r="10" spans="1:3" x14ac:dyDescent="0.25">
      <c r="A10" t="s">
        <v>7</v>
      </c>
      <c r="B10" s="5">
        <v>0.2486499790697894</v>
      </c>
      <c r="C10" s="6" t="s">
        <v>8</v>
      </c>
    </row>
    <row r="11" spans="1:2" x14ac:dyDescent="0.25">
      <c r="A11" t="s">
        <v>9</v>
      </c>
      <c r="B11" s="5">
        <v>0.31222067789841035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0.20304860868179564</v>
      </c>
      <c r="C14" s="6" t="s">
        <v>13</v>
      </c>
    </row>
    <row r="15" spans="1:3" x14ac:dyDescent="0.25">
      <c r="A15" t="s">
        <v>14</v>
      </c>
      <c r="B15" s="5">
        <v>0.07953513597399418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1.25996</v>
      </c>
      <c r="C19" s="6" t="s">
        <v>21</v>
      </c>
    </row>
    <row r="20" spans="1:2" x14ac:dyDescent="0.25">
      <c r="A20" t="s">
        <v>22</v>
      </c>
      <c r="B20" s="9">
        <f>B17+B19*B18</f>
        <v>0.102236308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276121059328</v>
      </c>
    </row>
    <row r="23" spans="1:2" x14ac:dyDescent="0.25">
      <c r="A23" t="s">
        <v>26</v>
      </c>
      <c r="B23" s="10">
        <v>14048000000</v>
      </c>
    </row>
    <row r="24" spans="1:2" x14ac:dyDescent="0.25">
      <c r="A24" t="s">
        <v>27</v>
      </c>
      <c r="B24" s="9">
        <f>B22/(B22+B23)</f>
        <v>0.9515868437781284</v>
      </c>
    </row>
    <row r="25" spans="1:2" x14ac:dyDescent="0.25">
      <c r="A25" t="s">
        <v>28</v>
      </c>
      <c r="B25" s="9">
        <f>1-B24</f>
        <v>0.04841315622187159</v>
      </c>
    </row>
    <row r="26" spans="1:2" x14ac:dyDescent="0.25">
      <c r="A26" t="s">
        <v>29</v>
      </c>
      <c r="B26" s="11">
        <f>B24*B20+B25*B21*(1-B8)</f>
        <v>0.09953373565447776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17682000000</v>
      </c>
      <c r="C29" s="6" t="s">
        <v>32</v>
      </c>
    </row>
    <row r="30" spans="1:2" x14ac:dyDescent="0.25">
      <c r="A30" t="s">
        <v>33</v>
      </c>
      <c r="B30" s="10">
        <v>9167000000</v>
      </c>
    </row>
    <row r="31" spans="1:2" x14ac:dyDescent="0.25">
      <c r="A31" t="s">
        <v>34</v>
      </c>
      <c r="B31" s="12">
        <v>913000000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0.2667875370433208</v>
      </c>
      <c r="C5" s="5">
        <v>0.17157697661039228</v>
      </c>
      <c r="D5" s="5">
        <v>0.15325485453409324</v>
      </c>
      <c r="E5" s="5">
        <v>0.13493273245779422</v>
      </c>
      <c r="F5" s="5">
        <v>0.11661061038149517</v>
      </c>
      <c r="G5" s="5">
        <v>0.09828848830519614</v>
      </c>
      <c r="H5" s="5">
        <v>0.0799663662288971</v>
      </c>
      <c r="I5" s="5">
        <v>0.06164424415259806</v>
      </c>
      <c r="J5" s="5">
        <v>0.04332212207629904</v>
      </c>
      <c r="K5" s="5">
        <v>0.024999999999999994</v>
      </c>
    </row>
    <row r="6" spans="1:11" x14ac:dyDescent="0.25">
      <c r="A6" t="s">
        <v>50</v>
      </c>
      <c r="B6" s="18">
        <f>Assumptions!B29*(1+B5)</f>
        <v>22399337230</v>
      </c>
      <c r="C6" s="18">
        <f>B6*(1+C5)</f>
        <v>26242547790</v>
      </c>
      <c r="D6" s="18">
        <f>C6*(1+D5)</f>
        <v>30264345634.160442</v>
      </c>
      <c r="E6" s="18">
        <f>D6*(1+E5)</f>
        <v>34347996486.62483</v>
      </c>
      <c r="F6" s="18">
        <f>E6*(1+F5)</f>
        <v>38353337322.3116</v>
      </c>
      <c r="G6" s="18">
        <f>F6*(1+G5)</f>
        <v>42123028869.18087</v>
      </c>
      <c r="H6" s="18">
        <f>G6*(1+H5)</f>
        <v>45491454422.4042</v>
      </c>
      <c r="I6" s="18">
        <f>H6*(1+I5)</f>
        <v>48295740745.67567</v>
      </c>
      <c r="J6" s="18">
        <f>I6*(1+J5)</f>
        <v>50388014722.02512</v>
      </c>
      <c r="K6" s="18">
        <f>J6*(1+K5)</f>
        <v>51647715090.075745</v>
      </c>
    </row>
    <row r="7" spans="1:11" x14ac:dyDescent="0.25">
      <c r="A7" t="s">
        <v>4</v>
      </c>
      <c r="B7" s="9">
        <f>Assumptions!B7</f>
        <v>0.4065758255507937</v>
      </c>
      <c r="C7" s="9">
        <f>Assumptions!B7</f>
        <v>0.4065758255507937</v>
      </c>
      <c r="D7" s="9">
        <f>Assumptions!B7</f>
        <v>0.4065758255507937</v>
      </c>
      <c r="E7" s="9">
        <f>Assumptions!B7</f>
        <v>0.4065758255507937</v>
      </c>
      <c r="F7" s="9">
        <f>Assumptions!B7</f>
        <v>0.4065758255507937</v>
      </c>
      <c r="G7" s="9">
        <f>Assumptions!B7</f>
        <v>0.4065758255507937</v>
      </c>
      <c r="H7" s="9">
        <f>Assumptions!B7</f>
        <v>0.4065758255507937</v>
      </c>
      <c r="I7" s="9">
        <f>Assumptions!B7</f>
        <v>0.4065758255507937</v>
      </c>
      <c r="J7" s="9">
        <f>Assumptions!B7</f>
        <v>0.4065758255507937</v>
      </c>
      <c r="K7" s="9">
        <f>Assumptions!B7</f>
        <v>0.4065758255507937</v>
      </c>
    </row>
    <row r="8" spans="1:11" x14ac:dyDescent="0.25">
      <c r="A8" t="s">
        <v>51</v>
      </c>
      <c r="B8" s="18">
        <f>B6*B7</f>
        <v>9107029026.077879</v>
      </c>
      <c r="C8" s="18">
        <f>C6*C7</f>
        <v>10669585532.275406</v>
      </c>
      <c r="D8" s="18">
        <f>D6*D7</f>
        <v>12304751310.96334</v>
      </c>
      <c r="E8" s="18">
        <f>E6*E7</f>
        <v>13965065027.56525</v>
      </c>
      <c r="F8" s="18">
        <f>F6*F7</f>
        <v>15593539784.446905</v>
      </c>
      <c r="G8" s="18">
        <f>G6*G7</f>
        <v>17126205237.187128</v>
      </c>
      <c r="H8" s="18">
        <f>H6*H7</f>
        <v>18495725637.29529</v>
      </c>
      <c r="I8" s="18">
        <f>I6*I7</f>
        <v>19635880664.26019</v>
      </c>
      <c r="J8" s="18">
        <f>J6*J7</f>
        <v>20486548683.47291</v>
      </c>
      <c r="K8" s="18">
        <f>K6*K7</f>
        <v>20998712400.55973</v>
      </c>
    </row>
    <row r="9" spans="1:11" x14ac:dyDescent="0.25">
      <c r="A9" t="s">
        <v>52</v>
      </c>
      <c r="B9" s="18">
        <f>B8*(1-Assumptions!B8)</f>
        <v>7984254895.896401</v>
      </c>
      <c r="C9" s="18">
        <f>C8*(1-Assumptions!B8)</f>
        <v>9354169211.421026</v>
      </c>
      <c r="D9" s="18">
        <f>D8*(1-Assumptions!B8)</f>
        <v>10787741053.204653</v>
      </c>
      <c r="E9" s="18">
        <f>E8*(1-Assumptions!B8)</f>
        <v>12243360430.560678</v>
      </c>
      <c r="F9" s="18">
        <f>F8*(1-Assumptions!B8)</f>
        <v>13671066163.489004</v>
      </c>
      <c r="G9" s="18">
        <f>G8*(1-Assumptions!B8)</f>
        <v>15014774590.218658</v>
      </c>
      <c r="H9" s="18">
        <f>H8*(1-Assumptions!B8)</f>
        <v>16215451553.944424</v>
      </c>
      <c r="I9" s="18">
        <f>I8*(1-Assumptions!B8)</f>
        <v>17215040808.5804</v>
      </c>
      <c r="J9" s="18">
        <f>J8*(1-Assumptions!B8)</f>
        <v>17960832908.038193</v>
      </c>
      <c r="K9" s="18">
        <f>K8*(1-Assumptions!B8)</f>
        <v>18409853730.739143</v>
      </c>
    </row>
    <row r="10" spans="1:11" x14ac:dyDescent="0.25">
      <c r="A10" t="s">
        <v>53</v>
      </c>
      <c r="B10" s="18">
        <f>B6*Assumptions!B9</f>
        <v>1868200374.8676581</v>
      </c>
      <c r="C10" s="18">
        <f>C6*Assumptions!B9</f>
        <v>2188740546.8898525</v>
      </c>
      <c r="D10" s="18">
        <f>D6*Assumptions!B9</f>
        <v>2524175661.016329</v>
      </c>
      <c r="E10" s="18">
        <f>E6*Assumptions!B9</f>
        <v>2864769580.1607213</v>
      </c>
      <c r="F10" s="18">
        <f>F6*Assumptions!B9</f>
        <v>3198832109.5056024</v>
      </c>
      <c r="G10" s="18">
        <f>G6*Assumptions!B9</f>
        <v>3513240481.8910303</v>
      </c>
      <c r="H10" s="18">
        <f>H6*Assumptions!B9</f>
        <v>3794181556.9161158</v>
      </c>
      <c r="I10" s="18">
        <f>I6*Assumptions!B9</f>
        <v>4028071011.169937</v>
      </c>
      <c r="J10" s="18">
        <f>J6*Assumptions!B9</f>
        <v>4202575595.247843</v>
      </c>
      <c r="K10" s="18">
        <f>K6*Assumptions!B9</f>
        <v>4307639985.129038</v>
      </c>
    </row>
    <row r="11" spans="1:11" x14ac:dyDescent="0.25">
      <c r="A11" t="s">
        <v>54</v>
      </c>
      <c r="B11" s="18">
        <f>-B6*B19</f>
        <v>-5569594733.416655</v>
      </c>
      <c r="C11" s="18">
        <f>-C6*C19</f>
        <v>-6161283550.311517</v>
      </c>
      <c r="D11" s="18">
        <f>-D6*D19</f>
        <v>-6685831420.620755</v>
      </c>
      <c r="E11" s="18">
        <f>-E6*E19</f>
        <v>-7111639080.691704</v>
      </c>
      <c r="F11" s="18">
        <f>-F6*F19</f>
        <v>-7409056698.78896</v>
      </c>
      <c r="G11" s="18">
        <f>-G6*G19</f>
        <v>-7553129540.181029</v>
      </c>
      <c r="H11" s="18">
        <f>-H6*H19</f>
        <v>-7526261197.80152</v>
      </c>
      <c r="I11" s="18">
        <f>-I6*I19</f>
        <v>-7320458039.812154</v>
      </c>
      <c r="J11" s="18">
        <f>-J6*J19</f>
        <v>-6938826818.1912565</v>
      </c>
      <c r="K11" s="18">
        <f>-K6*K19</f>
        <v>-6396059265.208069</v>
      </c>
    </row>
    <row r="12" spans="1:11" x14ac:dyDescent="0.25">
      <c r="A12" t="s">
        <v>55</v>
      </c>
      <c r="B12" s="18">
        <f>-(B6-Assumptions!B29)*Assumptions!B11</f>
        <v>-1472850227.8260093</v>
      </c>
      <c r="C12" s="18">
        <f>-(C6-B6)*Assumptions!B11</f>
        <v>-1199929806.3495293</v>
      </c>
      <c r="D12" s="18">
        <f>-(D6-C6)*Assumptions!B11</f>
        <v>-1255688449.2741387</v>
      </c>
      <c r="E12" s="18">
        <f>-(E6-D6)*Assumptions!B11</f>
        <v>-1275000237.456852</v>
      </c>
      <c r="F12" s="18">
        <f>-(F6-E6)*Assumptions!B11</f>
        <v>-1250550230.9323092</v>
      </c>
      <c r="G12" s="18">
        <f>-(G6-F6)*Assumptions!B11</f>
        <v>-1176975650.2314308</v>
      </c>
      <c r="H12" s="18">
        <f>-(H6-G6)*Assumptions!B11</f>
        <v>-1051692109.6777153</v>
      </c>
      <c r="I12" s="18">
        <f>-(I6-H6)*Assumptions!B11</f>
        <v>-875556176.8730588</v>
      </c>
      <c r="J12" s="18">
        <f>-(J6-I6)*Assumptions!B11</f>
        <v>-653251199.2450299</v>
      </c>
      <c r="K12" s="18">
        <f>-(K6-J6)*Assumptions!B11</f>
        <v>-393304502.86164194</v>
      </c>
    </row>
    <row r="13" spans="1:11" x14ac:dyDescent="0.25">
      <c r="A13" s="19" t="s">
        <v>56</v>
      </c>
      <c r="B13" s="20">
        <f>B9+B10+B11+B12</f>
        <v>2810010309.521395</v>
      </c>
      <c r="C13" s="20">
        <f>C9+C10+C11+C12</f>
        <v>4181696401.6498327</v>
      </c>
      <c r="D13" s="20">
        <f>D9+D10+D11+D12</f>
        <v>5370396844.326088</v>
      </c>
      <c r="E13" s="20">
        <f>E9+E10+E11+E12</f>
        <v>6721490692.572844</v>
      </c>
      <c r="F13" s="20">
        <f>F9+F10+F11+F12</f>
        <v>8210291343.273337</v>
      </c>
      <c r="G13" s="20">
        <f>G9+G10+G11+G12</f>
        <v>9797909881.697227</v>
      </c>
      <c r="H13" s="20">
        <f>H9+H10+H11+H12</f>
        <v>11431679803.381302</v>
      </c>
      <c r="I13" s="20">
        <f>I9+I10+I11+I12</f>
        <v>13047097603.065125</v>
      </c>
      <c r="J13" s="20">
        <f>J9+J10+J11+J12</f>
        <v>14571330485.849747</v>
      </c>
      <c r="K13" s="20">
        <f>K9+K10+K11+K12</f>
        <v>15928129947.798468</v>
      </c>
    </row>
    <row r="14" spans="1:11" x14ac:dyDescent="0.25">
      <c r="A14" t="s">
        <v>57</v>
      </c>
      <c r="B14" s="21">
        <f>1/(1+Assumptions!$B$26)^(1-0.5*Assumptions!$B$32)</f>
        <v>0.9536647287868836</v>
      </c>
      <c r="C14" s="21">
        <f>1/(1+Assumptions!$B$26)^(2-0.5*Assumptions!$B$32)</f>
        <v>0.8673355785843457</v>
      </c>
      <c r="D14" s="21">
        <f>1/(1+Assumptions!$B$26)^(3-0.5*Assumptions!$B$32)</f>
        <v>0.7888212525540016</v>
      </c>
      <c r="E14" s="21">
        <f>1/(1+Assumptions!$B$26)^(4-0.5*Assumptions!$B$32)</f>
        <v>0.7174143247951094</v>
      </c>
      <c r="F14" s="21">
        <f>1/(1+Assumptions!$B$26)^(5-0.5*Assumptions!$B$32)</f>
        <v>0.6524714081356324</v>
      </c>
      <c r="G14" s="21">
        <f>1/(1+Assumptions!$B$26)^(6-0.5*Assumptions!$B$32)</f>
        <v>0.5934073571169333</v>
      </c>
      <c r="H14" s="21">
        <f>1/(1+Assumptions!$B$26)^(7-0.5*Assumptions!$B$32)</f>
        <v>0.5396899957450765</v>
      </c>
      <c r="I14" s="21">
        <f>1/(1+Assumptions!$B$26)^(8-0.5*Assumptions!$B$32)</f>
        <v>0.4908353225049849</v>
      </c>
      <c r="J14" s="21">
        <f>1/(1+Assumptions!$B$26)^(9-0.5*Assumptions!$B$32)</f>
        <v>0.4464031494339043</v>
      </c>
      <c r="K14" s="21">
        <f>1/(1+Assumptions!$B$26)^(10-0.5*Assumptions!$B$32)</f>
        <v>0.40599313596157266</v>
      </c>
    </row>
    <row r="15" spans="1:11" x14ac:dyDescent="0.25">
      <c r="A15" s="19" t="s">
        <v>58</v>
      </c>
      <c r="B15" s="20">
        <f>B13*B14</f>
        <v>2679807719.718068</v>
      </c>
      <c r="C15" s="20">
        <f>C13*C14</f>
        <v>3626934067.989034</v>
      </c>
      <c r="D15" s="20">
        <f>D13*D14</f>
        <v>4236283165.453362</v>
      </c>
      <c r="E15" s="20">
        <f>E13*E14</f>
        <v>4822093706.828758</v>
      </c>
      <c r="F15" s="20">
        <f>F13*F14</f>
        <v>5356980353.9493475</v>
      </c>
      <c r="G15" s="20">
        <f>G13*G14</f>
        <v>5814151808.167836</v>
      </c>
      <c r="H15" s="20">
        <f>H13*H14</f>
        <v>6169563224.445931</v>
      </c>
      <c r="I15" s="20">
        <f>I13*I14</f>
        <v>6403976359.754486</v>
      </c>
      <c r="J15" s="20">
        <f>J13*J14</f>
        <v>6504687820.32559</v>
      </c>
      <c r="K15" s="20">
        <f>K13*K14</f>
        <v>6466711427.51014</v>
      </c>
    </row>
    <row r="17" spans="1:2" x14ac:dyDescent="0.25">
      <c r="A17" s="22" t="s">
        <v>59</v>
      </c>
      <c r="B17" s="23">
        <f>SUM(B15:K15)</f>
        <v>52081189654.142555</v>
      </c>
    </row>
    <row r="19" spans="1:11" x14ac:dyDescent="0.25">
      <c r="A19" t="s">
        <v>7</v>
      </c>
      <c r="B19" s="9">
        <f>Assumptions!$B$10+($B$20-Assumptions!$B$10)*0/9</f>
        <v>0.2486499790697894</v>
      </c>
      <c r="C19" s="9">
        <f>Assumptions!$B$10+($B$20-Assumptions!$B$10)*1/9</f>
        <v>0.2347822170170283</v>
      </c>
      <c r="D19" s="9">
        <f>Assumptions!$B$10+($B$20-Assumptions!$B$10)*2/9</f>
        <v>0.22091445496426726</v>
      </c>
      <c r="E19" s="9">
        <f>Assumptions!$B$10+($B$20-Assumptions!$B$10)*3/9</f>
        <v>0.20704669291150618</v>
      </c>
      <c r="F19" s="9">
        <f>Assumptions!$B$10+($B$20-Assumptions!$B$10)*4/9</f>
        <v>0.1931789308587451</v>
      </c>
      <c r="G19" s="9">
        <f>Assumptions!$B$10+($B$20-Assumptions!$B$10)*5/9</f>
        <v>0.17931116880598402</v>
      </c>
      <c r="H19" s="9">
        <f>Assumptions!$B$10+($B$20-Assumptions!$B$10)*6/9</f>
        <v>0.16544340675322294</v>
      </c>
      <c r="I19" s="9">
        <f>Assumptions!$B$10+($B$20-Assumptions!$B$10)*7/9</f>
        <v>0.15157564470046186</v>
      </c>
      <c r="J19" s="9">
        <f>Assumptions!$B$10+($B$20-Assumptions!$B$10)*8/9</f>
        <v>0.1377078826477008</v>
      </c>
      <c r="K19" s="9">
        <f>Assumptions!$B$10+($B$20-Assumptions!$B$10)*9/9</f>
        <v>0.12384012059493973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0.12384012059493973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15928129947.798468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18585049083.937244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0.12312322730158841</v>
      </c>
    </row>
    <row r="7" spans="1:2" x14ac:dyDescent="0.25">
      <c r="A7" t="s">
        <v>66</v>
      </c>
      <c r="B7" s="18">
        <f>-MAX(B5,0)*B6</f>
        <v>-2288251222.772783</v>
      </c>
    </row>
    <row r="8" spans="1:2" x14ac:dyDescent="0.25">
      <c r="A8" t="s">
        <v>67</v>
      </c>
      <c r="B8" s="18">
        <f>IF(OR(Assumptions!$B$33=0,Assumptions!B12&lt;=0),B5,MAX(B5+B7,0))</f>
        <v>16296797861.164461</v>
      </c>
    </row>
    <row r="9" spans="1:2" x14ac:dyDescent="0.25">
      <c r="A9" t="s">
        <v>68</v>
      </c>
      <c r="B9" s="18">
        <f>B8*(1+Assumptions!B12)/(Assumptions!B26-Assumptions!B12)</f>
        <v>224116202696.86606</v>
      </c>
    </row>
    <row r="10" spans="1:2" x14ac:dyDescent="0.25">
      <c r="A10" t="s">
        <v>69</v>
      </c>
      <c r="B10" s="18">
        <f>B9/(1+Assumptions!B26)^(10-0.5*Assumptions!B32)</f>
        <v>90989639952.70012</v>
      </c>
    </row>
    <row r="11" spans="1:2" x14ac:dyDescent="0.25">
      <c r="A11" t="s">
        <v>70</v>
      </c>
      <c r="B11" s="18">
        <f>Forecast!B17+B10</f>
        <v>143070829606.84268</v>
      </c>
    </row>
    <row r="12" spans="1:2" x14ac:dyDescent="0.25">
      <c r="A12" t="s">
        <v>71</v>
      </c>
      <c r="B12" s="18">
        <f>-Assumptions!B30</f>
        <v>-9167000000</v>
      </c>
    </row>
    <row r="13" spans="1:2" x14ac:dyDescent="0.25">
      <c r="A13" t="s">
        <v>72</v>
      </c>
      <c r="B13" s="18">
        <f>B11+B12</f>
        <v>133903829606.84268</v>
      </c>
    </row>
    <row r="14" spans="1:2" x14ac:dyDescent="0.25">
      <c r="A14" s="19" t="s">
        <v>73</v>
      </c>
      <c r="B14" s="24">
        <f>B13/Assumptions!B31</f>
        <v>146.66355926269736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25306352385.688766</v>
      </c>
    </row>
    <row r="18" spans="1:2" x14ac:dyDescent="0.25">
      <c r="A18" t="s">
        <v>68</v>
      </c>
      <c r="B18" s="18">
        <f>B17*Assumptions!B13</f>
        <v>506127047713.7753</v>
      </c>
    </row>
    <row r="19" spans="1:2" x14ac:dyDescent="0.25">
      <c r="A19" t="s">
        <v>69</v>
      </c>
      <c r="B19" s="18">
        <f>B18/(1+Assumptions!B26)^(10-0.5*Assumptions!B32)</f>
        <v>205484107296.28815</v>
      </c>
    </row>
    <row r="20" spans="1:2" x14ac:dyDescent="0.25">
      <c r="A20" t="s">
        <v>70</v>
      </c>
      <c r="B20" s="18">
        <f>Forecast!B17+B19</f>
        <v>257565296950.4307</v>
      </c>
    </row>
    <row r="21" spans="1:2" x14ac:dyDescent="0.25">
      <c r="A21" t="s">
        <v>71</v>
      </c>
      <c r="B21" s="18">
        <f>-Assumptions!B30</f>
        <v>-9167000000</v>
      </c>
    </row>
    <row r="22" spans="1:2" x14ac:dyDescent="0.25">
      <c r="A22" t="s">
        <v>72</v>
      </c>
      <c r="B22" s="18">
        <f>B20+B21</f>
        <v>248398296950.4307</v>
      </c>
    </row>
    <row r="23" spans="1:2" x14ac:dyDescent="0.25">
      <c r="A23" s="19" t="s">
        <v>73</v>
      </c>
      <c r="B23" s="25">
        <f>B22/Assumptions!B31</f>
        <v>272.0682332425309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302.02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146.66355926269736</v>
      </c>
    </row>
    <row r="29" spans="1:2" x14ac:dyDescent="0.25">
      <c r="A29" s="19" t="s">
        <v>81</v>
      </c>
      <c r="B29" s="11">
        <f>B28/B26-1</f>
        <v>-0.5143912348099551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0.079534</v>
      </c>
      <c r="B5" s="31">
        <v>199.21988196405266</v>
      </c>
      <c r="C5" s="31">
        <v>206.58675420931047</v>
      </c>
      <c r="D5" s="31">
        <v>215.495509680035</v>
      </c>
      <c r="E5" s="31">
        <v>226.41306500686392</v>
      </c>
      <c r="F5" s="31">
        <v>240.01602677895517</v>
      </c>
    </row>
    <row r="6" spans="1:6" x14ac:dyDescent="0.25">
      <c r="A6" s="30">
        <v>0.089534</v>
      </c>
      <c r="B6" s="31">
        <v>166.14615051820192</v>
      </c>
      <c r="C6" s="31">
        <v>170.45899415753382</v>
      </c>
      <c r="D6" s="31">
        <v>175.59261967229733</v>
      </c>
      <c r="E6" s="31">
        <v>181.7538286906626</v>
      </c>
      <c r="F6" s="31">
        <v>189.225266031532</v>
      </c>
    </row>
    <row r="7" spans="1:6" x14ac:dyDescent="0.25">
      <c r="A7" s="30">
        <v>0.099534</v>
      </c>
      <c r="B7" s="31">
        <v>141.1710283821994</v>
      </c>
      <c r="C7" s="31">
        <v>143.6858525449508</v>
      </c>
      <c r="D7" s="32">
        <v>146.66290045580376</v>
      </c>
      <c r="E7" s="31">
        <v>150.20188385608668</v>
      </c>
      <c r="F7" s="31">
        <v>154.43341656706352</v>
      </c>
    </row>
    <row r="8" spans="1:6" x14ac:dyDescent="0.25">
      <c r="A8" s="30">
        <v>0.109534</v>
      </c>
      <c r="B8" s="31">
        <v>121.70623401093577</v>
      </c>
      <c r="C8" s="31">
        <v>123.11507820886548</v>
      </c>
      <c r="D8" s="31">
        <v>124.79471682778262</v>
      </c>
      <c r="E8" s="31">
        <v>126.79622131279007</v>
      </c>
      <c r="F8" s="31">
        <v>129.18436730978578</v>
      </c>
    </row>
    <row r="9" spans="1:6" x14ac:dyDescent="0.25">
      <c r="A9" s="30">
        <v>0.119534</v>
      </c>
      <c r="B9" s="31">
        <v>106.1553120845685</v>
      </c>
      <c r="C9" s="31">
        <v>106.8626029420116</v>
      </c>
      <c r="D9" s="31">
        <v>107.73289521148652</v>
      </c>
      <c r="E9" s="31">
        <v>108.79349719129873</v>
      </c>
      <c r="F9" s="31">
        <v>110.07817808265784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17682000000</v>
      </c>
      <c r="C5" s="18">
        <v>15641000000</v>
      </c>
      <c r="D5" s="18">
        <v>17519000000</v>
      </c>
      <c r="E5" s="18">
        <v>20028000000</v>
      </c>
      <c r="F5" s="6" t="s">
        <v>91</v>
      </c>
    </row>
    <row r="6" spans="1:6" x14ac:dyDescent="0.25">
      <c r="A6" t="s">
        <v>51</v>
      </c>
      <c r="B6" s="18">
        <v>6140000000</v>
      </c>
      <c r="C6" s="18">
        <v>5341000000</v>
      </c>
      <c r="D6" s="18">
        <v>7331000000</v>
      </c>
      <c r="E6" s="18">
        <v>10397000000</v>
      </c>
      <c r="F6" s="6" t="s">
        <v>92</v>
      </c>
    </row>
    <row r="7" spans="1:6" x14ac:dyDescent="0.25">
      <c r="A7" t="s">
        <v>93</v>
      </c>
      <c r="B7" s="18">
        <v>1999000000</v>
      </c>
      <c r="C7" s="18">
        <v>1580000000</v>
      </c>
      <c r="D7" s="18">
        <v>1238000000</v>
      </c>
      <c r="E7" s="18">
        <v>979000000</v>
      </c>
      <c r="F7" s="6" t="s">
        <v>94</v>
      </c>
    </row>
    <row r="8" spans="1:6" x14ac:dyDescent="0.25">
      <c r="A8" t="s">
        <v>95</v>
      </c>
      <c r="B8" s="18">
        <v>4550000000</v>
      </c>
      <c r="C8" s="18">
        <v>4820000000</v>
      </c>
      <c r="D8" s="18">
        <v>5071000000</v>
      </c>
      <c r="E8" s="18">
        <v>2797000000</v>
      </c>
      <c r="F8" s="6" t="s">
        <v>96</v>
      </c>
    </row>
    <row r="9" spans="1:6" x14ac:dyDescent="0.25">
      <c r="A9" t="s">
        <v>97</v>
      </c>
      <c r="B9" s="18">
        <v>271000000</v>
      </c>
      <c r="C9" s="18">
        <v>-257000000</v>
      </c>
      <c r="D9" s="18">
        <v>1099000000</v>
      </c>
      <c r="E9" s="18">
        <v>813000000</v>
      </c>
      <c r="F9" s="6" t="s">
        <v>98</v>
      </c>
    </row>
    <row r="10" spans="1:6" x14ac:dyDescent="0.25">
      <c r="A10" t="s">
        <v>99</v>
      </c>
      <c r="B10" s="18">
        <v>14048000000</v>
      </c>
      <c r="C10" s="18">
        <v>13596000000</v>
      </c>
      <c r="D10" s="18">
        <v>11223000000</v>
      </c>
      <c r="E10" s="18">
        <v>8735000000</v>
      </c>
      <c r="F10" s="6" t="s">
        <v>100</v>
      </c>
    </row>
    <row r="11" spans="1:6" x14ac:dyDescent="0.25">
      <c r="A11" t="s">
        <v>101</v>
      </c>
      <c r="B11" s="18">
        <v>4881000000</v>
      </c>
      <c r="C11" s="18">
        <v>7580000000</v>
      </c>
      <c r="D11" s="18">
        <v>8575000000</v>
      </c>
      <c r="E11" s="18">
        <v>9067000000</v>
      </c>
      <c r="F11" s="6" t="s">
        <v>102</v>
      </c>
    </row>
    <row r="12" spans="1:6" x14ac:dyDescent="0.25">
      <c r="A12" t="s">
        <v>34</v>
      </c>
      <c r="B12" s="34">
        <v>913000000</v>
      </c>
      <c r="C12" s="34">
        <v>919000000</v>
      </c>
      <c r="D12" s="34">
        <v>916000000</v>
      </c>
      <c r="E12" s="34">
        <v>926000000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