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<sst xmlns="http://schemas.openxmlformats.org/spreadsheetml/2006/main" count="113" uniqueCount="101">
  <si>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Texas Instruments Incorporated (TXN)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</si>
  <si>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</si>
  <si>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</si>
  <si>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</si>
  <si>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</si>
  <si>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</si>
  <si>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</si>
  <si>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</si>
  <si>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</si>
  <si>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</si>
  <si>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</si>
  <si>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</si>
  <si>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</si>
  <si>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</si>
  <si>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</si>
  <si>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</si>
  <si>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</si>
  <si>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</si>
  <si>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</si>
  <si>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</si>
  <si>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</si>
  <si>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</si>
  <si>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</si>
  <si>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</si>
  <si>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</si>
  <si>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</si>
  <si>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</si>
  <si>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</si>
  <si>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</si>
  <si>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</si>
  <si>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</si>
  <si>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</si>
  <si>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</si>
  <si>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</si>
  <si>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</si>
  <si>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</si>
  <si>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</si>
  <si>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</si>
  <si>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</si>
  <si>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</si>
  <si>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</si>
  <si>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</si>
  <si>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</si>
  <si>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</si>
  <si>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</si>
  <si>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</si>
  <si>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</si>
  <si>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</si>
  <si>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</si>
  <si>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</si>
  <si>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</si>
  <si>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</si>
  <si>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</si>
  <si>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</si>
  <si>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</si>
  <si>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</si>
  <si>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</si>
  <si>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</si>
  <si>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</si>
  <si>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</si>
  <si>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</si>
  <si>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</si>
  <si>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</si>
  <si>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</si>
  <si>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</si>
  <si>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</si>
  <si>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</si>
  <si>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</si>
  <si>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</si>
  <si>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</si>
  <si>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</si>
  <si>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</si>
  <si>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</si>
  <si>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</si>
  <si>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</si>
  <si>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</si>
  <si>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</si>
  <si>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</si>
  <si>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</si>
  <si>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</si>
  <si>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</si>
  <si>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</si>
  <si>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</si>
  <si>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</si>
  <si>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</si>
  <si>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</si>
  <si>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</si>
  <si>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</si>
  <si>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</si>
  <si>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</si>
  <si>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</si>
  <si>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</si>
  <si>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</si>
  <si>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</si>
  <si>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</si>
  <si>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</si>
  <si>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</si>
  <si>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</si>
  <si>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24.9% of revenue against depreciation of 8.3%. A perpetuity has to be a steady state, so the terminal year uses maintenance capex at depreciation and then charges the reinvestment terminal growth requires (g/ROIC of NOPAT). The bridge is shown under Terminal Value.</t>
  </si>
  <si>
    <t>Current EV/EBITDA of 31.0x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</si>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</sst>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-0.040677564911326236</v>
      </c>
    </row>
    <row r="7" spans="1:2" x14ac:dyDescent="0.25">
      <c r="A7" t="s">
        <v>5</v>
      </c>
      <c r="B7" s="6">
        <v>0.4065758255507937</v>
      </c>
    </row>
    <row r="8" spans="1:2" x14ac:dyDescent="0.25">
      <c r="A8" t="s">
        <v>6</v>
      </c>
      <c r="B8" s="6">
        <v>0.12328654350023774</v>
      </c>
    </row>
    <row r="9" spans="1:2" x14ac:dyDescent="0.25">
      <c r="A9" t="s">
        <v>7</v>
      </c>
      <c r="B9" s="6">
        <v>0.08340427021052793</v>
      </c>
    </row>
    <row r="10" spans="1:2" x14ac:dyDescent="0.25">
      <c r="A10" t="s">
        <v>8</v>
      </c>
      <c r="B10" s="6">
        <v>0.2486499790697894</v>
      </c>
    </row>
    <row r="11" spans="1:2" x14ac:dyDescent="0.25">
      <c r="A11" t="s">
        <v>9</v>
      </c>
      <c r="B11" s="6">
        <v>0.13277804997550222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0.20304860868179564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1.21038</v>
      </c>
      <c r="C19" s="8" t="s">
        <v>19</v>
      </c>
    </row>
    <row r="20" spans="1:2" x14ac:dyDescent="0.25">
      <c r="A20" t="s">
        <v>20</v>
      </c>
      <c r="B20" s="10">
        <f>B17+B19*B18</f>
        <v>0.11655090000000001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243508379648</v>
      </c>
    </row>
    <row r="23" spans="1:2" x14ac:dyDescent="0.25">
      <c r="A23" t="s">
        <v>24</v>
      </c>
      <c r="B23" s="11">
        <v>14048000000</v>
      </c>
    </row>
    <row r="24" spans="1:2" x14ac:dyDescent="0.25">
      <c r="A24" t="s">
        <v>25</v>
      </c>
      <c r="B24" s="10">
        <f>B22/(B22+B23)</f>
        <v>0.9454566024759344</v>
      </c>
    </row>
    <row r="25" spans="1:2" x14ac:dyDescent="0.25">
      <c r="A25" t="s">
        <v>26</v>
      </c>
      <c r="B25" s="10">
        <f>1-B24</f>
        <v>0.05454339752406556</v>
      </c>
    </row>
    <row r="26" spans="1:2" x14ac:dyDescent="0.25">
      <c r="A26" t="s">
        <v>27</v>
      </c>
      <c r="B26" s="12">
        <f>B24*B20+B25*B21*(1-B8)</f>
        <v>0.11258380807952915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17682000000</v>
      </c>
      <c r="C29" s="8" t="s">
        <v>30</v>
      </c>
    </row>
    <row r="30" spans="1:2" x14ac:dyDescent="0.25">
      <c r="A30" t="s">
        <v>31</v>
      </c>
      <c r="B30" s="11">
        <v>9167000000</v>
      </c>
    </row>
    <row r="31" spans="1:2" x14ac:dyDescent="0.25">
      <c r="A31" t="s">
        <v>32</v>
      </c>
      <c r="B31" s="13">
        <v>913000000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-0.040677564911326236</v>
      </c>
      <c r="C5" s="10">
        <f>Assumptions!B6</f>
        <v>-0.040677564911326236</v>
      </c>
      <c r="D5" s="10">
        <f>Assumptions!B6</f>
        <v>-0.040677564911326236</v>
      </c>
      <c r="E5" s="10">
        <f>Assumptions!B6</f>
        <v>-0.040677564911326236</v>
      </c>
      <c r="F5" s="10">
        <f>Assumptions!B6</f>
        <v>-0.040677564911326236</v>
      </c>
    </row>
    <row r="6" spans="1:6" x14ac:dyDescent="0.25">
      <c r="A6" t="s">
        <v>43</v>
      </c>
      <c r="B6" s="18">
        <f>Assumptions!B29*(1+B5)</f>
        <v>16962739297.23793</v>
      </c>
      <c r="C6" s="18">
        <f>B6*(1+C5)</f>
        <v>16272736368.40063</v>
      </c>
      <c r="D6" s="18">
        <f>C6*(1+D5)</f>
        <v>15610801078.490114</v>
      </c>
      <c r="E6" s="18">
        <f>D6*(1+E5)</f>
        <v>14975791704.30203</v>
      </c>
      <c r="F6" s="18">
        <f>E6*(1+F5)</f>
        <v>14366612965.151783</v>
      </c>
    </row>
    <row r="7" spans="1:6" x14ac:dyDescent="0.25">
      <c r="A7" t="s">
        <v>5</v>
      </c>
      <c r="B7" s="10">
        <f>Assumptions!B7</f>
        <v>0.4065758255507937</v>
      </c>
      <c r="C7" s="10">
        <f>Assumptions!B7</f>
        <v>0.4065758255507937</v>
      </c>
      <c r="D7" s="10">
        <f>Assumptions!B7</f>
        <v>0.4065758255507937</v>
      </c>
      <c r="E7" s="10">
        <f>Assumptions!B7</f>
        <v>0.4065758255507937</v>
      </c>
      <c r="F7" s="10">
        <f>Assumptions!B7</f>
        <v>0.4065758255507937</v>
      </c>
    </row>
    <row r="8" spans="1:6" x14ac:dyDescent="0.25">
      <c r="A8" t="s">
        <v>44</v>
      </c>
      <c r="B8" s="18">
        <f>B6*B7</f>
        <v>6896639733.377401</v>
      </c>
      <c r="C8" s="18">
        <f>C6*C7</f>
        <v>6616101222.952911</v>
      </c>
      <c r="D8" s="18">
        <f>D6*D7</f>
        <v>6346974335.996339</v>
      </c>
      <c r="E8" s="18">
        <f>E6*E7</f>
        <v>6088794875.453325</v>
      </c>
      <c r="F8" s="18">
        <f>F6*F7</f>
        <v>5841117526.675323</v>
      </c>
    </row>
    <row r="9" spans="1:6" x14ac:dyDescent="0.25">
      <c r="A9" t="s">
        <v>45</v>
      </c>
      <c r="B9" s="18">
        <f>B8*(1-Assumptions!B8)</f>
        <v>6046376858.8829</v>
      </c>
      <c r="C9" s="18">
        <f>C8*(1-Assumptions!B8)</f>
        <v>5800424971.727351</v>
      </c>
      <c r="D9" s="18">
        <f>D8*(1-Assumptions!B8)</f>
        <v>5564477808.426634</v>
      </c>
      <c r="E9" s="18">
        <f>E8*(1-Assumptions!B8)</f>
        <v>5338128401.176724</v>
      </c>
      <c r="F9" s="18">
        <f>F8*(1-Assumptions!B8)</f>
        <v>5120986336.632864</v>
      </c>
    </row>
    <row r="10" spans="1:6" x14ac:dyDescent="0.25">
      <c r="A10" t="s">
        <v>46</v>
      </c>
      <c r="B10" s="18">
        <f>B6*Assumptions!B9</f>
        <v>1414764891.857573</v>
      </c>
      <c r="C10" s="18">
        <f>C6*Assumptions!B9</f>
        <v>1357215701.134771</v>
      </c>
      <c r="D10" s="18">
        <f>D6*Assumptions!B9</f>
        <v>1302007471.3531904</v>
      </c>
      <c r="E10" s="18">
        <f>E6*Assumptions!B9</f>
        <v>1249044977.9221892</v>
      </c>
      <c r="F10" s="18">
        <f>F6*Assumptions!B9</f>
        <v>1198236869.7555933</v>
      </c>
    </row>
    <row r="11" spans="1:6" x14ac:dyDescent="0.25">
      <c r="A11" t="s">
        <v>47</v>
      </c>
      <c r="B11" s="18">
        <f>-B6*Assumptions!B10</f>
        <v>-4217784771.2245054</v>
      </c>
      <c r="C11" s="18">
        <f>-C6*Assumptions!B10</f>
        <v>-4046215557.4110174</v>
      </c>
      <c r="D11" s="18">
        <f>-D6*Assumptions!B10</f>
        <v>-3881625361.4292126</v>
      </c>
      <c r="E11" s="18">
        <f>-E6*Assumptions!B10</f>
        <v>-3723730293.8282256</v>
      </c>
      <c r="F11" s="18">
        <f>-F6*Assumptions!B10</f>
        <v>-3572258013.0887556</v>
      </c>
    </row>
    <row r="12" spans="1:6" x14ac:dyDescent="0.25">
      <c r="A12" t="s">
        <v>48</v>
      </c>
      <c r="B12" s="18">
        <f>-(B6-Assumptions!B29)*Assumptions!B11</f>
        <v>95502033.53675693</v>
      </c>
      <c r="C12" s="18">
        <f>-(C6-B6)*Assumptions!B11</f>
        <v>91617243.36840183</v>
      </c>
      <c r="D12" s="18">
        <f>-(D6-C6)*Assumptions!B11</f>
        <v>87890477.00428714</v>
      </c>
      <c r="E12" s="18">
        <f>-(E6-D6)*Assumptions!B11</f>
        <v>84315306.42085776</v>
      </c>
      <c r="F12" s="18">
        <f>-(F6-E6)*Assumptions!B11</f>
        <v>80885565.070905</v>
      </c>
    </row>
    <row r="13" spans="1:6" x14ac:dyDescent="0.25">
      <c r="A13" s="19" t="s">
        <v>49</v>
      </c>
      <c r="B13" s="20">
        <f>B9+B10+B11+B12</f>
        <v>3338859013.0527244</v>
      </c>
      <c r="C13" s="20">
        <f>C9+C10+C11+C12</f>
        <v>3203042358.819507</v>
      </c>
      <c r="D13" s="20">
        <f>D9+D10+D11+D12</f>
        <v>3072750395.354899</v>
      </c>
      <c r="E13" s="20">
        <f>E9+E10+E11+E12</f>
        <v>2947758391.6915455</v>
      </c>
      <c r="F13" s="20">
        <f>F9+F10+F11+F12</f>
        <v>2827850758.370607</v>
      </c>
    </row>
    <row r="14" spans="1:6" x14ac:dyDescent="0.25">
      <c r="A14" t="s">
        <v>50</v>
      </c>
      <c r="B14" s="21">
        <f>1/(1+Assumptions!$B$26)^(1-0.5*Assumptions!$B$32)</f>
        <v>0.9480552169807692</v>
      </c>
      <c r="C14" s="21">
        <f>1/(1+Assumptions!$B$26)^(2-0.5*Assumptions!$B$32)</f>
        <v>0.8521202718357382</v>
      </c>
      <c r="D14" s="21">
        <f>1/(1+Assumptions!$B$26)^(3-0.5*Assumptions!$B$32)</f>
        <v>0.7658931090383327</v>
      </c>
      <c r="E14" s="21">
        <f>1/(1+Assumptions!$B$26)^(4-0.5*Assumptions!$B$32)</f>
        <v>0.6883913854187472</v>
      </c>
      <c r="F14" s="21">
        <f>1/(1+Assumptions!$B$26)^(5-0.5*Assumptions!$B$32)</f>
        <v>0.6187321623950328</v>
      </c>
    </row>
    <row r="15" spans="1:6" x14ac:dyDescent="0.25">
      <c r="A15" s="19" t="s">
        <v>51</v>
      </c>
      <c r="B15" s="20">
        <f>B13*B14</f>
        <v>3165422706.087898</v>
      </c>
      <c r="C15" s="20">
        <f>C13*C14</f>
        <v>2729377325.4986625</v>
      </c>
      <c r="D15" s="20">
        <f>D13*D14</f>
        <v>2353398353.59713</v>
      </c>
      <c r="E15" s="20">
        <f>E13*E14</f>
        <v>2029211483.1362813</v>
      </c>
      <c r="F15" s="20">
        <f>F13*F14</f>
        <v>1749682214.657079</v>
      </c>
    </row>
    <row r="17" spans="1:2" x14ac:dyDescent="0.25">
      <c r="A17" s="22" t="s">
        <v>52</v>
      </c>
      <c r="B17" s="23">
        <f>SUM(B15:F15)</f>
        <v>12027092082.97705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2827850758.370607</v>
      </c>
    </row>
    <row r="5" spans="1:2" x14ac:dyDescent="0.25">
      <c r="A5" t="s">
        <v>56</v>
      </c>
      <c r="B5" s="18">
        <f>IF(Assumptions!$B$33=0,B4,B4-Forecast!F11-Forecast!F10-Forecast!F12)</f>
        <v>5169719641.258258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0.12312322730158841</v>
      </c>
    </row>
    <row r="7" spans="1:2" x14ac:dyDescent="0.25">
      <c r="A7" t="s">
        <v>58</v>
      </c>
      <c r="B7" s="18">
        <f>-MAX(Forecast!F9,0)*B6</f>
        <v>-636512566.4761266</v>
      </c>
    </row>
    <row r="8" spans="1:2" x14ac:dyDescent="0.25">
      <c r="A8" t="s">
        <v>59</v>
      </c>
      <c r="B8" s="18">
        <f>IF(OR(Assumptions!$B$33=0,Assumptions!B12&lt;=0),B5,MAX(B5+B7,0))</f>
        <v>4533207074.782131</v>
      </c>
    </row>
    <row r="9" spans="1:2" x14ac:dyDescent="0.25">
      <c r="A9" t="s">
        <v>60</v>
      </c>
      <c r="B9" s="18">
        <f>B8*(1+Assumptions!B12)/(Assumptions!B26-Assumptions!B12)</f>
        <v>53052468869.959</v>
      </c>
    </row>
    <row r="10" spans="1:2" x14ac:dyDescent="0.25">
      <c r="A10" t="s">
        <v>61</v>
      </c>
      <c r="B10" s="18">
        <f>B9/(1+Assumptions!B26)^(5-0.5*Assumptions!B32)</f>
        <v>32825268784.304893</v>
      </c>
    </row>
    <row r="11" spans="1:2" x14ac:dyDescent="0.25">
      <c r="A11" t="s">
        <v>62</v>
      </c>
      <c r="B11" s="18">
        <f>Forecast!B17+B10</f>
        <v>44852360867.281944</v>
      </c>
    </row>
    <row r="12" spans="1:2" x14ac:dyDescent="0.25">
      <c r="A12" t="s">
        <v>63</v>
      </c>
      <c r="B12" s="18">
        <f>-Assumptions!B30</f>
        <v>-9167000000</v>
      </c>
    </row>
    <row r="13" spans="1:2" x14ac:dyDescent="0.25">
      <c r="A13" t="s">
        <v>64</v>
      </c>
      <c r="B13" s="18">
        <f>B11+B12</f>
        <v>35685360867.281944</v>
      </c>
    </row>
    <row r="14" spans="1:2" x14ac:dyDescent="0.25">
      <c r="A14" s="19" t="s">
        <v>65</v>
      </c>
      <c r="B14" s="24">
        <f>B13/Assumptions!B31</f>
        <v>39.08582789406566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7039354396.430916</v>
      </c>
    </row>
    <row r="18" spans="1:2" x14ac:dyDescent="0.25">
      <c r="A18" t="s">
        <v>60</v>
      </c>
      <c r="B18" s="18">
        <f>B17*Assumptions!B13</f>
        <v>140787087928.61832</v>
      </c>
    </row>
    <row r="19" spans="1:2" x14ac:dyDescent="0.25">
      <c r="A19" t="s">
        <v>61</v>
      </c>
      <c r="B19" s="18">
        <f>B18/(1+Assumptions!B26)^(5-0.5*Assumptions!B32)</f>
        <v>87109499351.37363</v>
      </c>
    </row>
    <row r="20" spans="1:2" x14ac:dyDescent="0.25">
      <c r="A20" t="s">
        <v>62</v>
      </c>
      <c r="B20" s="18">
        <f>Forecast!B17+B19</f>
        <v>99136591434.35068</v>
      </c>
    </row>
    <row r="21" spans="1:2" x14ac:dyDescent="0.25">
      <c r="A21" t="s">
        <v>63</v>
      </c>
      <c r="B21" s="18">
        <f>-Assumptions!B30</f>
        <v>-9167000000</v>
      </c>
    </row>
    <row r="22" spans="1:2" x14ac:dyDescent="0.25">
      <c r="A22" t="s">
        <v>64</v>
      </c>
      <c r="B22" s="18">
        <f>B20+B21</f>
        <v>89969591434.35068</v>
      </c>
    </row>
    <row r="23" spans="1:2" x14ac:dyDescent="0.25">
      <c r="A23" s="19" t="s">
        <v>65</v>
      </c>
      <c r="B23" s="25">
        <f>B22/Assumptions!B31</f>
        <v>98.54281646697774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266.64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39.08582789406566</v>
      </c>
    </row>
    <row r="29" spans="1:2" x14ac:dyDescent="0.25">
      <c r="A29" s="19" t="s">
        <v>73</v>
      </c>
      <c r="B29" s="12">
        <f>B28/B26-1</f>
        <v>-0.8534134867459284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0.092584</v>
      </c>
      <c r="B5" s="31">
        <v>49.733825981951895</v>
      </c>
      <c r="C5" s="31">
        <v>51.833682222367955</v>
      </c>
      <c r="D5" s="31">
        <v>54.23039080146666</v>
      </c>
      <c r="E5" s="31">
        <v>56.99510065636046</v>
      </c>
      <c r="F5" s="31">
        <v>60.223672080480185</v>
      </c>
    </row>
    <row r="6" spans="1:6" x14ac:dyDescent="0.25">
      <c r="A6" s="30">
        <v>0.102584</v>
      </c>
      <c r="B6" s="31">
        <v>42.55985094921048</v>
      </c>
      <c r="C6" s="31">
        <v>44.02569771959577</v>
      </c>
      <c r="D6" s="31">
        <v>45.6689003487608</v>
      </c>
      <c r="E6" s="31">
        <v>47.52611068672339</v>
      </c>
      <c r="F6" s="31">
        <v>49.644826893284154</v>
      </c>
    </row>
    <row r="7" spans="1:6" x14ac:dyDescent="0.25">
      <c r="A7" s="30">
        <v>0.112584</v>
      </c>
      <c r="B7" s="31">
        <v>36.88125236882932</v>
      </c>
      <c r="C7" s="31">
        <v>37.92861733785073</v>
      </c>
      <c r="D7" s="32">
        <v>39.085716188573734</v>
      </c>
      <c r="E7" s="31">
        <v>40.37248024214436</v>
      </c>
      <c r="F7" s="31">
        <v>41.81397881752935</v>
      </c>
    </row>
    <row r="8" spans="1:6" x14ac:dyDescent="0.25">
      <c r="A8" s="30">
        <v>0.122584</v>
      </c>
      <c r="B8" s="31">
        <v>32.27966766976093</v>
      </c>
      <c r="C8" s="31">
        <v>33.040765911171185</v>
      </c>
      <c r="D8" s="31">
        <v>33.87136645682356</v>
      </c>
      <c r="E8" s="31">
        <v>34.78272972497213</v>
      </c>
      <c r="F8" s="31">
        <v>35.788687475269796</v>
      </c>
    </row>
    <row r="9" spans="1:6" x14ac:dyDescent="0.25">
      <c r="A9" s="30">
        <v>0.132584</v>
      </c>
      <c r="B9" s="31">
        <v>28.479137807723816</v>
      </c>
      <c r="C9" s="31">
        <v>29.03878999918119</v>
      </c>
      <c r="D9" s="31">
        <v>29.643061020381666</v>
      </c>
      <c r="E9" s="31">
        <v>30.29847510947297</v>
      </c>
      <c r="F9" s="31">
        <v>31.01289365785494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17682000000</v>
      </c>
      <c r="C5" s="18">
        <v>15641000000</v>
      </c>
      <c r="D5" s="18">
        <v>17519000000</v>
      </c>
      <c r="E5" s="18">
        <v>20028000000</v>
      </c>
      <c r="F5" s="8" t="s">
        <v>84</v>
      </c>
    </row>
    <row r="6" spans="1:6" x14ac:dyDescent="0.25">
      <c r="A6" t="s">
        <v>44</v>
      </c>
      <c r="B6" s="18">
        <v>6140000000</v>
      </c>
      <c r="C6" s="18">
        <v>5341000000</v>
      </c>
      <c r="D6" s="18">
        <v>7331000000</v>
      </c>
      <c r="E6" s="18">
        <v>10397000000</v>
      </c>
      <c r="F6" s="8" t="s">
        <v>85</v>
      </c>
    </row>
    <row r="7" spans="1:6" x14ac:dyDescent="0.25">
      <c r="A7" t="s">
        <v>86</v>
      </c>
      <c r="B7" s="18">
        <v>1999000000</v>
      </c>
      <c r="C7" s="18">
        <v>1580000000</v>
      </c>
      <c r="D7" s="18">
        <v>1238000000</v>
      </c>
      <c r="E7" s="18">
        <v>979000000</v>
      </c>
      <c r="F7" s="8" t="s">
        <v>87</v>
      </c>
    </row>
    <row r="8" spans="1:6" x14ac:dyDescent="0.25">
      <c r="A8" t="s">
        <v>88</v>
      </c>
      <c r="B8" s="18">
        <v>4550000000</v>
      </c>
      <c r="C8" s="18">
        <v>4820000000</v>
      </c>
      <c r="D8" s="18">
        <v>5071000000</v>
      </c>
      <c r="E8" s="18">
        <v>2797000000</v>
      </c>
      <c r="F8" s="8" t="s">
        <v>89</v>
      </c>
    </row>
    <row r="9" spans="1:6" x14ac:dyDescent="0.25">
      <c r="A9" t="s">
        <v>90</v>
      </c>
      <c r="B9" s="18">
        <v>271000000</v>
      </c>
      <c r="C9" s="18">
        <v>-257000000</v>
      </c>
      <c r="D9" s="18">
        <v>1099000000</v>
      </c>
      <c r="E9" s="18">
        <v>813000000</v>
      </c>
      <c r="F9" s="8" t="s">
        <v>91</v>
      </c>
    </row>
    <row r="10" spans="1:6" x14ac:dyDescent="0.25">
      <c r="A10" t="s">
        <v>92</v>
      </c>
      <c r="B10" s="18">
        <v>14048000000</v>
      </c>
      <c r="C10" s="18">
        <v>13596000000</v>
      </c>
      <c r="D10" s="18">
        <v>11223000000</v>
      </c>
      <c r="E10" s="18">
        <v>8735000000</v>
      </c>
      <c r="F10" s="8" t="s">
        <v>93</v>
      </c>
    </row>
    <row r="11" spans="1:6" x14ac:dyDescent="0.25">
      <c r="A11" t="s">
        <v>94</v>
      </c>
      <c r="B11" s="18">
        <v>4881000000</v>
      </c>
      <c r="C11" s="18">
        <v>7580000000</v>
      </c>
      <c r="D11" s="18">
        <v>8575000000</v>
      </c>
      <c r="E11" s="18">
        <v>9067000000</v>
      </c>
      <c r="F11" s="8" t="s">
        <v>95</v>
      </c>
    </row>
    <row r="12" spans="1:6" x14ac:dyDescent="0.25">
      <c r="A12" t="s">
        <v>32</v>
      </c>
      <c r="B12" s="34">
        <v>913000000</v>
      </c>
      <c r="C12" s="34">
        <v>919000000</v>
      </c>
      <c r="D12" s="34">
        <v>916000000</v>
      </c>
      <c r="E12" s="34">
        <v>926000000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