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<sst xmlns="http://schemas.openxmlformats.org/spreadsheetml/2006/main" count="111" uniqueCount="99">
  <si>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Textron Inc. (TXT)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</si>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</sst>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0.04768129392975795</v>
      </c>
    </row>
    <row r="7" spans="1:2" x14ac:dyDescent="0.25">
      <c r="A7" t="s">
        <v>5</v>
      </c>
      <c r="B7" s="6">
        <v>0.06890266568760724</v>
      </c>
    </row>
    <row r="8" spans="1:2" x14ac:dyDescent="0.25">
      <c r="A8" t="s">
        <v>6</v>
      </c>
      <c r="B8" s="6">
        <v>0.15168436569623828</v>
      </c>
    </row>
    <row r="9" spans="1:2" x14ac:dyDescent="0.25">
      <c r="A9" t="s">
        <v>7</v>
      </c>
      <c r="B9" s="6">
        <v>0.02867320833125167</v>
      </c>
    </row>
    <row r="10" spans="1:2" x14ac:dyDescent="0.25">
      <c r="A10" t="s">
        <v>8</v>
      </c>
      <c r="B10" s="6">
        <v>0.027333269710680883</v>
      </c>
    </row>
    <row r="11" spans="1:2" x14ac:dyDescent="0.25">
      <c r="A11" t="s">
        <v>9</v>
      </c>
      <c r="B11" s="6">
        <v>0.2716499544211486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11.097459263908702</v>
      </c>
    </row>
    <row r="14" spans="1:3" x14ac:dyDescent="0.25">
      <c r="A14" t="s">
        <v>12</v>
      </c>
      <c r="B14" s="6">
        <v>0.08824823966276604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0.93166</v>
      </c>
      <c r="C19" s="8" t="s">
        <v>19</v>
      </c>
    </row>
    <row r="20" spans="1:2" x14ac:dyDescent="0.25">
      <c r="A20" t="s">
        <v>20</v>
      </c>
      <c r="B20" s="10">
        <f>B17+B19*B18</f>
        <v>0.10122130000000001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13705637888</v>
      </c>
    </row>
    <row r="23" spans="1:2" x14ac:dyDescent="0.25">
      <c r="A23" t="s">
        <v>24</v>
      </c>
      <c r="B23" s="11">
        <v>3878000000</v>
      </c>
    </row>
    <row r="24" spans="1:2" x14ac:dyDescent="0.25">
      <c r="A24" t="s">
        <v>25</v>
      </c>
      <c r="B24" s="10">
        <f>B22/(B22+B23)</f>
        <v>0.7794540569647108</v>
      </c>
    </row>
    <row r="25" spans="1:2" x14ac:dyDescent="0.25">
      <c r="A25" t="s">
        <v>26</v>
      </c>
      <c r="B25" s="10">
        <f>1-B24</f>
        <v>0.22054594303528918</v>
      </c>
    </row>
    <row r="26" spans="1:2" x14ac:dyDescent="0.25">
      <c r="A26" t="s">
        <v>27</v>
      </c>
      <c r="B26" s="12">
        <f>B24*B20+B25*B21*(1-B8)</f>
        <v>0.08824823966276604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14799000000</v>
      </c>
      <c r="C29" s="8" t="s">
        <v>30</v>
      </c>
    </row>
    <row r="30" spans="1:2" x14ac:dyDescent="0.25">
      <c r="A30" t="s">
        <v>31</v>
      </c>
      <c r="B30" s="11">
        <v>1853000000</v>
      </c>
    </row>
    <row r="31" spans="1:2" x14ac:dyDescent="0.25">
      <c r="A31" t="s">
        <v>32</v>
      </c>
      <c r="B31" s="13">
        <v>180258000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0.04768129392975795</v>
      </c>
      <c r="C5" s="10">
        <f>Assumptions!B6</f>
        <v>0.04768129392975795</v>
      </c>
      <c r="D5" s="10">
        <f>Assumptions!B6</f>
        <v>0.04768129392975795</v>
      </c>
      <c r="E5" s="10">
        <f>Assumptions!B6</f>
        <v>0.04768129392975795</v>
      </c>
      <c r="F5" s="10">
        <f>Assumptions!B6</f>
        <v>0.04768129392975795</v>
      </c>
    </row>
    <row r="6" spans="1:6" x14ac:dyDescent="0.25">
      <c r="A6" t="s">
        <v>43</v>
      </c>
      <c r="B6" s="18">
        <f>Assumptions!B29*(1+B5)</f>
        <v>15504635468.866488</v>
      </c>
      <c r="C6" s="18">
        <f>B6*(1+C5)</f>
        <v>16243916549.931261</v>
      </c>
      <c r="D6" s="18">
        <f>C6*(1+D5)</f>
        <v>17018447509.518993</v>
      </c>
      <c r="E6" s="18">
        <f>D6*(1+E5)</f>
        <v>17829909107.448524</v>
      </c>
      <c r="F6" s="18">
        <f>E6*(1+F5)</f>
        <v>18680062244.341644</v>
      </c>
    </row>
    <row r="7" spans="1:6" x14ac:dyDescent="0.25">
      <c r="A7" t="s">
        <v>5</v>
      </c>
      <c r="B7" s="10">
        <f>Assumptions!B7</f>
        <v>0.06890266568760724</v>
      </c>
      <c r="C7" s="10">
        <f>Assumptions!B7</f>
        <v>0.06890266568760724</v>
      </c>
      <c r="D7" s="10">
        <f>Assumptions!B7</f>
        <v>0.06890266568760724</v>
      </c>
      <c r="E7" s="10">
        <f>Assumptions!B7</f>
        <v>0.06890266568760724</v>
      </c>
      <c r="F7" s="10">
        <f>Assumptions!B7</f>
        <v>0.06890266568760724</v>
      </c>
    </row>
    <row r="8" spans="1:6" x14ac:dyDescent="0.25">
      <c r="A8" t="s">
        <v>44</v>
      </c>
      <c r="B8" s="18">
        <f>B6*B7</f>
        <v>1068310714.3195251</v>
      </c>
      <c r="C8" s="18">
        <f>C6*C7</f>
        <v>1119249151.497304</v>
      </c>
      <c r="D8" s="18">
        <f>D6*D7</f>
        <v>1172616399.2704792</v>
      </c>
      <c r="E8" s="18">
        <f>E6*E7</f>
        <v>1228528266.4709492</v>
      </c>
      <c r="F8" s="18">
        <f>F6*F7</f>
        <v>1287106083.8455665</v>
      </c>
    </row>
    <row r="9" spans="1:6" x14ac:dyDescent="0.25">
      <c r="A9" t="s">
        <v>45</v>
      </c>
      <c r="B9" s="18">
        <f>B8*(1-Assumptions!B8)</f>
        <v>906264681.2514727</v>
      </c>
      <c r="C9" s="18">
        <f>C8*(1-Assumptions!B8)</f>
        <v>949476553.8963825</v>
      </c>
      <c r="D9" s="18">
        <f>D8*(1-Assumptions!B8)</f>
        <v>994748824.5421296</v>
      </c>
      <c r="E9" s="18">
        <f>E8*(1-Assumptions!B8)</f>
        <v>1042179735.631404</v>
      </c>
      <c r="F9" s="18">
        <f>F8*(1-Assumptions!B8)</f>
        <v>1091872213.9336824</v>
      </c>
    </row>
    <row r="10" spans="1:6" x14ac:dyDescent="0.25">
      <c r="A10" t="s">
        <v>46</v>
      </c>
      <c r="B10" s="18">
        <f>B6*Assumptions!B9</f>
        <v>444567642.89892274</v>
      </c>
      <c r="C10" s="18">
        <f>C6*Assumptions!B9</f>
        <v>465765203.35164595</v>
      </c>
      <c r="D10" s="18">
        <f>D6*Assumptions!B9</f>
        <v>487973490.91490924</v>
      </c>
      <c r="E10" s="18">
        <f>E6*Assumptions!B9</f>
        <v>511240698.3651531</v>
      </c>
      <c r="F10" s="18">
        <f>F6*Assumptions!B9</f>
        <v>535617316.3727566</v>
      </c>
    </row>
    <row r="11" spans="1:6" x14ac:dyDescent="0.25">
      <c r="A11" t="s">
        <v>47</v>
      </c>
      <c r="B11" s="18">
        <f>-B6*Assumptions!B10</f>
        <v>-423792383.0363169</v>
      </c>
      <c r="C11" s="18">
        <f>-C6*Assumptions!B10</f>
        <v>-443999352.217064</v>
      </c>
      <c r="D11" s="18">
        <f>-D6*Assumptions!B10</f>
        <v>-465169815.834748</v>
      </c>
      <c r="E11" s="18">
        <f>-E6*Assumptions!B10</f>
        <v>-487349714.55081594</v>
      </c>
      <c r="F11" s="18">
        <f>-F6*Assumptions!B10</f>
        <v>-510587179.536897</v>
      </c>
    </row>
    <row r="12" spans="1:6" x14ac:dyDescent="0.25">
      <c r="A12" t="s">
        <v>48</v>
      </c>
      <c r="B12" s="18">
        <f>-(B6-Assumptions!B29)*Assumptions!B11</f>
        <v>-191685842.95552716</v>
      </c>
      <c r="C12" s="18">
        <f>-(C6-B6)*Assumptions!B11</f>
        <v>-200825671.9756632</v>
      </c>
      <c r="D12" s="18">
        <f>-(D6-C6)*Assumptions!B11</f>
        <v>-210401299.86977595</v>
      </c>
      <c r="E12" s="18">
        <f>-(E6-D6)*Assumptions!B11</f>
        <v>-220433506.09206954</v>
      </c>
      <c r="F12" s="18">
        <f>-(F6-E6)*Assumptions!B11</f>
        <v>-230944060.8880125</v>
      </c>
    </row>
    <row r="13" spans="1:6" x14ac:dyDescent="0.25">
      <c r="A13" s="19" t="s">
        <v>49</v>
      </c>
      <c r="B13" s="20">
        <f>B9+B10+B11+B12</f>
        <v>735354098.1585513</v>
      </c>
      <c r="C13" s="20">
        <f>C9+C10+C11+C12</f>
        <v>770416733.0553011</v>
      </c>
      <c r="D13" s="20">
        <f>D9+D10+D11+D12</f>
        <v>807151199.7525148</v>
      </c>
      <c r="E13" s="20">
        <f>E9+E10+E11+E12</f>
        <v>845637213.3536718</v>
      </c>
      <c r="F13" s="20">
        <f>F9+F10+F11+F12</f>
        <v>885958289.8815295</v>
      </c>
    </row>
    <row r="14" spans="1:6" x14ac:dyDescent="0.25">
      <c r="A14" t="s">
        <v>50</v>
      </c>
      <c r="B14" s="21">
        <f>1/(1+Assumptions!$B$26)^(1-0.5*Assumptions!$B$32)</f>
        <v>0.9585968848664049</v>
      </c>
      <c r="C14" s="21">
        <f>1/(1+Assumptions!$B$26)^(2-0.5*Assumptions!$B$32)</f>
        <v>0.8808623344646638</v>
      </c>
      <c r="D14" s="21">
        <f>1/(1+Assumptions!$B$26)^(3-0.5*Assumptions!$B$32)</f>
        <v>0.8094314351821343</v>
      </c>
      <c r="E14" s="21">
        <f>1/(1+Assumptions!$B$26)^(4-0.5*Assumptions!$B$32)</f>
        <v>0.7437930112645683</v>
      </c>
      <c r="F14" s="21">
        <f>1/(1+Assumptions!$B$26)^(5-0.5*Assumptions!$B$32)</f>
        <v>0.6834773392282812</v>
      </c>
    </row>
    <row r="15" spans="1:6" x14ac:dyDescent="0.25">
      <c r="A15" s="19" t="s">
        <v>51</v>
      </c>
      <c r="B15" s="20">
        <f>B13*B14</f>
        <v>704908147.7685319</v>
      </c>
      <c r="C15" s="20">
        <f>C13*C14</f>
        <v>678631081.9897321</v>
      </c>
      <c r="D15" s="20">
        <f>D13*D14</f>
        <v>653333554.0246596</v>
      </c>
      <c r="E15" s="20">
        <f>E13*E14</f>
        <v>628979049.3577057</v>
      </c>
      <c r="F15" s="20">
        <f>F13*F14</f>
        <v>605532414.635466</v>
      </c>
    </row>
    <row r="17" spans="1:2" x14ac:dyDescent="0.25">
      <c r="A17" s="22" t="s">
        <v>52</v>
      </c>
      <c r="B17" s="23">
        <f>SUM(B15:F15)</f>
        <v>3271384247.7760954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885958289.8815295</v>
      </c>
    </row>
    <row r="5" spans="1:2" x14ac:dyDescent="0.25">
      <c r="A5" t="s">
        <v>56</v>
      </c>
      <c r="B5" s="18">
        <f>IF(Assumptions!$B$33=0,B4,B4-Forecast!F11-Forecast!F10-Forecast!F12)</f>
        <v>1091872213.9336824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0.2832917698475982</v>
      </c>
    </row>
    <row r="7" spans="1:2" x14ac:dyDescent="0.25">
      <c r="A7" t="s">
        <v>58</v>
      </c>
      <c r="B7" s="18">
        <f>-MAX(Forecast!F9,0)*B6</f>
        <v>-309318411.93268824</v>
      </c>
    </row>
    <row r="8" spans="1:2" x14ac:dyDescent="0.25">
      <c r="A8" t="s">
        <v>59</v>
      </c>
      <c r="B8" s="18">
        <f>IF(OR(Assumptions!$B$33=0,Assumptions!B12&lt;=0),B5,MAX(B5+B7,0))</f>
        <v>782553802.0009942</v>
      </c>
    </row>
    <row r="9" spans="1:2" x14ac:dyDescent="0.25">
      <c r="A9" t="s">
        <v>60</v>
      </c>
      <c r="B9" s="18">
        <f>B8*(1+Assumptions!B12)/(Assumptions!B26-Assumptions!B12)</f>
        <v>12682054889.240213</v>
      </c>
    </row>
    <row r="10" spans="1:2" x14ac:dyDescent="0.25">
      <c r="A10" t="s">
        <v>61</v>
      </c>
      <c r="B10" s="18">
        <f>B9/(1+Assumptions!B26)^(5-0.5*Assumptions!B32)</f>
        <v>8667897131.644917</v>
      </c>
    </row>
    <row r="11" spans="1:2" x14ac:dyDescent="0.25">
      <c r="A11" t="s">
        <v>62</v>
      </c>
      <c r="B11" s="18">
        <f>Forecast!B17+B10</f>
        <v>11939281379.421013</v>
      </c>
    </row>
    <row r="12" spans="1:2" x14ac:dyDescent="0.25">
      <c r="A12" t="s">
        <v>63</v>
      </c>
      <c r="B12" s="18">
        <f>-Assumptions!B30</f>
        <v>-1853000000</v>
      </c>
    </row>
    <row r="13" spans="1:2" x14ac:dyDescent="0.25">
      <c r="A13" t="s">
        <v>64</v>
      </c>
      <c r="B13" s="18">
        <f>B11+B12</f>
        <v>10086281379.421013</v>
      </c>
    </row>
    <row r="14" spans="1:2" x14ac:dyDescent="0.25">
      <c r="A14" s="19" t="s">
        <v>65</v>
      </c>
      <c r="B14" s="24">
        <f>B13/Assumptions!B31</f>
        <v>55.95469482309253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1822723400.2183232</v>
      </c>
    </row>
    <row r="18" spans="1:2" x14ac:dyDescent="0.25">
      <c r="A18" t="s">
        <v>60</v>
      </c>
      <c r="B18" s="18">
        <f>B17*Assumptions!B13</f>
        <v>20227598683.295998</v>
      </c>
    </row>
    <row r="19" spans="1:2" x14ac:dyDescent="0.25">
      <c r="A19" t="s">
        <v>61</v>
      </c>
      <c r="B19" s="18">
        <f>B18/(1+Assumptions!B26)^(5-0.5*Assumptions!B32)</f>
        <v>13825105327.036634</v>
      </c>
    </row>
    <row r="20" spans="1:2" x14ac:dyDescent="0.25">
      <c r="A20" t="s">
        <v>62</v>
      </c>
      <c r="B20" s="18">
        <f>Forecast!B17+B19</f>
        <v>17096489574.812729</v>
      </c>
    </row>
    <row r="21" spans="1:2" x14ac:dyDescent="0.25">
      <c r="A21" t="s">
        <v>63</v>
      </c>
      <c r="B21" s="18">
        <f>-Assumptions!B30</f>
        <v>-1853000000</v>
      </c>
    </row>
    <row r="22" spans="1:2" x14ac:dyDescent="0.25">
      <c r="A22" t="s">
        <v>64</v>
      </c>
      <c r="B22" s="18">
        <f>B20+B21</f>
        <v>15243489574.812729</v>
      </c>
    </row>
    <row r="23" spans="1:2" x14ac:dyDescent="0.25">
      <c r="A23" s="19" t="s">
        <v>65</v>
      </c>
      <c r="B23" s="25">
        <f>B22/Assumptions!B31</f>
        <v>84.5648435842666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79.69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55.95469482309253</v>
      </c>
    </row>
    <row r="29" spans="1:2" x14ac:dyDescent="0.25">
      <c r="A29" s="19" t="s">
        <v>73</v>
      </c>
      <c r="B29" s="12">
        <f>B28/B26-1</f>
        <v>-0.2978454658916736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0.068248</v>
      </c>
      <c r="B5" s="31">
        <v>76.42959161512609</v>
      </c>
      <c r="C5" s="31">
        <v>77.13680854459979</v>
      </c>
      <c r="D5" s="31">
        <v>77.93450250321894</v>
      </c>
      <c r="E5" s="31">
        <v>78.8581565342062</v>
      </c>
      <c r="F5" s="31">
        <v>79.9645981485554</v>
      </c>
    </row>
    <row r="6" spans="1:6" x14ac:dyDescent="0.25">
      <c r="A6" s="30">
        <v>0.078248</v>
      </c>
      <c r="B6" s="31">
        <v>64.26133538635602</v>
      </c>
      <c r="C6" s="31">
        <v>64.53710096032103</v>
      </c>
      <c r="D6" s="31">
        <v>64.81286653428603</v>
      </c>
      <c r="E6" s="31">
        <v>65.08863210825105</v>
      </c>
      <c r="F6" s="31">
        <v>65.36439768221604</v>
      </c>
    </row>
    <row r="7" spans="1:6" x14ac:dyDescent="0.25">
      <c r="A7" s="30">
        <v>0.088248</v>
      </c>
      <c r="B7" s="31">
        <v>55.485748719138414</v>
      </c>
      <c r="C7" s="31">
        <v>55.72031573844187</v>
      </c>
      <c r="D7" s="32">
        <v>55.954882757745295</v>
      </c>
      <c r="E7" s="31">
        <v>56.18944977704874</v>
      </c>
      <c r="F7" s="31">
        <v>56.42401679635219</v>
      </c>
    </row>
    <row r="8" spans="1:6" x14ac:dyDescent="0.25">
      <c r="A8" s="30">
        <v>0.098248</v>
      </c>
      <c r="B8" s="31">
        <v>48.517849204554736</v>
      </c>
      <c r="C8" s="31">
        <v>48.720044784353576</v>
      </c>
      <c r="D8" s="31">
        <v>48.92224036415241</v>
      </c>
      <c r="E8" s="31">
        <v>49.124435943951255</v>
      </c>
      <c r="F8" s="31">
        <v>49.32663152375009</v>
      </c>
    </row>
    <row r="9" spans="1:6" x14ac:dyDescent="0.25">
      <c r="A9" s="30">
        <v>0.108248</v>
      </c>
      <c r="B9" s="31">
        <v>42.855556605432575</v>
      </c>
      <c r="C9" s="31">
        <v>43.03173842310276</v>
      </c>
      <c r="D9" s="31">
        <v>43.20792024077294</v>
      </c>
      <c r="E9" s="31">
        <v>43.384102058443126</v>
      </c>
      <c r="F9" s="31">
        <v>43.56028387611331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14799000000</v>
      </c>
      <c r="C5" s="18">
        <v>13702000000</v>
      </c>
      <c r="D5" s="18">
        <v>13683000000</v>
      </c>
      <c r="E5" s="18">
        <v>12869000000</v>
      </c>
      <c r="F5" s="8" t="s">
        <v>84</v>
      </c>
    </row>
    <row r="6" spans="1:6" x14ac:dyDescent="0.25">
      <c r="A6" t="s">
        <v>44</v>
      </c>
      <c r="B6" s="18">
        <v>1001000000</v>
      </c>
      <c r="C6" s="18">
        <v>855000000</v>
      </c>
      <c r="D6" s="18">
        <v>1053000000</v>
      </c>
      <c r="E6" s="18">
        <v>883000000</v>
      </c>
      <c r="F6" s="8" t="s">
        <v>85</v>
      </c>
    </row>
    <row r="7" spans="1:6" x14ac:dyDescent="0.25">
      <c r="A7" t="s">
        <v>86</v>
      </c>
      <c r="B7" s="18">
        <v>401000000</v>
      </c>
      <c r="C7" s="18">
        <v>382000000</v>
      </c>
      <c r="D7" s="18">
        <v>395000000</v>
      </c>
      <c r="E7" s="18">
        <v>397000000</v>
      </c>
      <c r="F7" s="8" t="s">
        <v>87</v>
      </c>
    </row>
    <row r="8" spans="1:6" x14ac:dyDescent="0.25">
      <c r="A8" t="s">
        <v>88</v>
      </c>
      <c r="B8" s="18">
        <v>383000000</v>
      </c>
      <c r="C8" s="18">
        <v>364000000</v>
      </c>
      <c r="D8" s="18">
        <v>402000000</v>
      </c>
      <c r="E8" s="18">
        <v>354000000</v>
      </c>
      <c r="F8" s="8" t="s">
        <v>89</v>
      </c>
    </row>
    <row r="9" spans="1:6" x14ac:dyDescent="0.25">
      <c r="A9" t="s">
        <v>90</v>
      </c>
      <c r="B9" s="18">
        <v>298000000</v>
      </c>
      <c r="C9" s="18">
        <v>311000000</v>
      </c>
      <c r="D9" s="18">
        <v>38000000</v>
      </c>
      <c r="E9" s="18">
        <v>-347000000</v>
      </c>
      <c r="F9" s="8" t="s">
        <v>91</v>
      </c>
    </row>
    <row r="10" spans="1:6" x14ac:dyDescent="0.25">
      <c r="A10" t="s">
        <v>92</v>
      </c>
      <c r="B10" s="18">
        <v>3878000000</v>
      </c>
      <c r="C10" s="18">
        <v>3588000000</v>
      </c>
      <c r="D10" s="18">
        <v>3874000000</v>
      </c>
      <c r="E10" s="18">
        <v>3557000000</v>
      </c>
      <c r="F10" s="8" t="s">
        <v>93</v>
      </c>
    </row>
    <row r="11" spans="1:6" x14ac:dyDescent="0.25">
      <c r="A11" t="s">
        <v>94</v>
      </c>
      <c r="B11" s="18">
        <v>2025000000</v>
      </c>
      <c r="C11" s="18">
        <v>1441000000</v>
      </c>
      <c r="D11" s="18">
        <v>2181000000</v>
      </c>
      <c r="E11" s="18">
        <v>2035000000</v>
      </c>
      <c r="F11" s="8" t="s">
        <v>95</v>
      </c>
    </row>
    <row r="12" spans="1:6" x14ac:dyDescent="0.25">
      <c r="A12" t="s">
        <v>32</v>
      </c>
      <c r="B12" s="34">
        <v>180258000</v>
      </c>
      <c r="C12" s="34">
        <v>190307000</v>
      </c>
      <c r="D12" s="34">
        <v>201774000</v>
      </c>
      <c r="E12" s="34">
        <v>214973000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