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<sst xmlns="http://schemas.openxmlformats.org/spreadsheetml/2006/main" count="119" uniqueCount="106">
  <si>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Textron Inc. (TXT)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</si>
  <si>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</si>
  <si>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</si>
  <si>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</si>
  <si>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</si>
  <si>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</si>
  <si>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</si>
  <si>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</si>
  <si>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</si>
  <si>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</si>
  <si>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</si>
  <si>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</si>
  <si>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</si>
  <si>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</si>
  <si>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</si>
  <si>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</si>
  <si>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</si>
  <si>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</si>
  <si>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</si>
  <si>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</si>
  <si>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</si>
  <si>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</si>
  <si>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</si>
  <si>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</si>
  <si>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7.9x interest cover.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</si>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</sst>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0.04925336036218653</v>
      </c>
    </row>
    <row r="7" spans="1:2" x14ac:dyDescent="0.25">
      <c r="A7" t="s">
        <v>4</v>
      </c>
      <c r="B7" s="5">
        <v>0.06890266568760724</v>
      </c>
    </row>
    <row r="8" spans="1:2" x14ac:dyDescent="0.25">
      <c r="A8" t="s">
        <v>5</v>
      </c>
      <c r="B8" s="5">
        <v>0.15168436569623828</v>
      </c>
    </row>
    <row r="9" spans="1:2" x14ac:dyDescent="0.25">
      <c r="A9" t="s">
        <v>6</v>
      </c>
      <c r="B9" s="5">
        <v>0.02867320833125167</v>
      </c>
    </row>
    <row r="10" spans="1:3" x14ac:dyDescent="0.25">
      <c r="A10" t="s">
        <v>7</v>
      </c>
      <c r="B10" s="5">
        <v>0.027333269710680883</v>
      </c>
      <c r="C10" s="6" t="s">
        <v>8</v>
      </c>
    </row>
    <row r="11" spans="1:2" x14ac:dyDescent="0.25">
      <c r="A11" t="s">
        <v>9</v>
      </c>
      <c r="B11" s="5">
        <v>0.3122066971086323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11.676588964336663</v>
      </c>
    </row>
    <row r="14" spans="1:3" x14ac:dyDescent="0.25">
      <c r="A14" t="s">
        <v>12</v>
      </c>
      <c r="B14" s="5">
        <v>0.07968360980257296</v>
      </c>
      <c r="C14" s="6" t="s">
        <v>13</v>
      </c>
    </row>
    <row r="15" spans="1:3" x14ac:dyDescent="0.25">
      <c r="A15" t="s">
        <v>14</v>
      </c>
      <c r="B15" s="5">
        <v>0.02867320833125167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0.93836</v>
      </c>
      <c r="C19" s="6" t="s">
        <v>21</v>
      </c>
    </row>
    <row r="20" spans="1:2" x14ac:dyDescent="0.25">
      <c r="A20" t="s">
        <v>22</v>
      </c>
      <c r="B20" s="9">
        <f>B17+B19*B18</f>
        <v>0.08863262799999999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14517577728</v>
      </c>
    </row>
    <row r="23" spans="1:2" x14ac:dyDescent="0.25">
      <c r="A23" t="s">
        <v>26</v>
      </c>
      <c r="B23" s="10">
        <v>3878000000</v>
      </c>
    </row>
    <row r="24" spans="1:2" x14ac:dyDescent="0.25">
      <c r="A24" t="s">
        <v>27</v>
      </c>
      <c r="B24" s="9">
        <f>B22/(B22+B23)</f>
        <v>0.7891884638068596</v>
      </c>
    </row>
    <row r="25" spans="1:2" x14ac:dyDescent="0.25">
      <c r="A25" t="s">
        <v>28</v>
      </c>
      <c r="B25" s="9">
        <f>1-B24</f>
        <v>0.21081153619314041</v>
      </c>
    </row>
    <row r="26" spans="1:2" x14ac:dyDescent="0.25">
      <c r="A26" t="s">
        <v>29</v>
      </c>
      <c r="B26" s="11">
        <f>B24*B20+B25*B21*(1-B8)</f>
        <v>0.07968360980257296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14799000000</v>
      </c>
      <c r="C29" s="6" t="s">
        <v>32</v>
      </c>
    </row>
    <row r="30" spans="1:2" x14ac:dyDescent="0.25">
      <c r="A30" t="s">
        <v>33</v>
      </c>
      <c r="B30" s="10">
        <v>1853000000</v>
      </c>
    </row>
    <row r="31" spans="1:2" x14ac:dyDescent="0.25">
      <c r="A31" t="s">
        <v>34</v>
      </c>
      <c r="B31" s="12">
        <v>180258000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0.04925336036218653</v>
      </c>
      <c r="C5" s="5">
        <v>0.048371205815456175</v>
      </c>
      <c r="D5" s="5">
        <v>0.045449805088524156</v>
      </c>
      <c r="E5" s="5">
        <v>0.04252840436159213</v>
      </c>
      <c r="F5" s="5">
        <v>0.03960700363466011</v>
      </c>
      <c r="G5" s="5">
        <v>0.036685602907728085</v>
      </c>
      <c r="H5" s="5">
        <v>0.033764202180796066</v>
      </c>
      <c r="I5" s="5">
        <v>0.030842801453864047</v>
      </c>
      <c r="J5" s="5">
        <v>0.027921400726932024</v>
      </c>
      <c r="K5" s="5">
        <v>0.025</v>
      </c>
    </row>
    <row r="6" spans="1:11" x14ac:dyDescent="0.25">
      <c r="A6" t="s">
        <v>50</v>
      </c>
      <c r="B6" s="18">
        <f>Assumptions!B29*(1+B5)</f>
        <v>15527900479.999998</v>
      </c>
      <c r="C6" s="18">
        <f>B6*(1+C5)</f>
        <v>16279003749.999998</v>
      </c>
      <c r="D6" s="18">
        <f>C6*(1+D5)</f>
        <v>17018881297.47285</v>
      </c>
      <c r="E6" s="18">
        <f>D6*(1+E5)</f>
        <v>17742667163.073715</v>
      </c>
      <c r="F6" s="18">
        <f>E6*(1+F5)</f>
        <v>18445401045.89014</v>
      </c>
      <c r="G6" s="18">
        <f>F6*(1+G5)</f>
        <v>19122081704.133457</v>
      </c>
      <c r="H6" s="18">
        <f>G6*(1+H5)</f>
        <v>19767723536.90952</v>
      </c>
      <c r="I6" s="18">
        <f>H6*(1+I5)</f>
        <v>20377415509.153294</v>
      </c>
      <c r="J6" s="18">
        <f>I6*(1+J5)</f>
        <v>20946381493.36356</v>
      </c>
      <c r="K6" s="18">
        <f>J6*(1+K5)</f>
        <v>21470041030.697647</v>
      </c>
    </row>
    <row r="7" spans="1:11" x14ac:dyDescent="0.25">
      <c r="A7" t="s">
        <v>4</v>
      </c>
      <c r="B7" s="9">
        <f>Assumptions!B7</f>
        <v>0.06890266568760724</v>
      </c>
      <c r="C7" s="9">
        <f>Assumptions!B7</f>
        <v>0.06890266568760724</v>
      </c>
      <c r="D7" s="9">
        <f>Assumptions!B7</f>
        <v>0.06890266568760724</v>
      </c>
      <c r="E7" s="9">
        <f>Assumptions!B7</f>
        <v>0.06890266568760724</v>
      </c>
      <c r="F7" s="9">
        <f>Assumptions!B7</f>
        <v>0.06890266568760724</v>
      </c>
      <c r="G7" s="9">
        <f>Assumptions!B7</f>
        <v>0.06890266568760724</v>
      </c>
      <c r="H7" s="9">
        <f>Assumptions!B7</f>
        <v>0.06890266568760724</v>
      </c>
      <c r="I7" s="9">
        <f>Assumptions!B7</f>
        <v>0.06890266568760724</v>
      </c>
      <c r="J7" s="9">
        <f>Assumptions!B7</f>
        <v>0.06890266568760724</v>
      </c>
      <c r="K7" s="9">
        <f>Assumptions!B7</f>
        <v>0.06890266568760724</v>
      </c>
    </row>
    <row r="8" spans="1:11" x14ac:dyDescent="0.25">
      <c r="A8" t="s">
        <v>51</v>
      </c>
      <c r="B8" s="18">
        <f>B6*B7</f>
        <v>1069913735.6038758</v>
      </c>
      <c r="C8" s="18">
        <f>C6*C7</f>
        <v>1121666753.1135545</v>
      </c>
      <c r="D8" s="18">
        <f>D6*D7</f>
        <v>1172646288.4168432</v>
      </c>
      <c r="E8" s="18">
        <f>E6*E7</f>
        <v>1222517063.943755</v>
      </c>
      <c r="F8" s="18">
        <f>F6*F7</f>
        <v>1270937301.738809</v>
      </c>
      <c r="G8" s="18">
        <f>G6*G7</f>
        <v>1317562402.9110184</v>
      </c>
      <c r="H8" s="18">
        <f>H6*H7</f>
        <v>1362048846.2687216</v>
      </c>
      <c r="I8" s="18">
        <f>I6*I7</f>
        <v>1404058248.404652</v>
      </c>
      <c r="J8" s="18">
        <f>J6*J7</f>
        <v>1443261521.4023125</v>
      </c>
      <c r="K8" s="18">
        <f>K6*K7</f>
        <v>1479343059.4373703</v>
      </c>
    </row>
    <row r="9" spans="1:11" x14ac:dyDescent="0.25">
      <c r="A9" t="s">
        <v>52</v>
      </c>
      <c r="B9" s="18">
        <f>B8*(1-Assumptions!B8)</f>
        <v>907624549.269109</v>
      </c>
      <c r="C9" s="18">
        <f>C8*(1-Assumptions!B8)</f>
        <v>951527443.1449658</v>
      </c>
      <c r="D9" s="18">
        <f>D8*(1-Assumptions!B8)</f>
        <v>994774179.9722862</v>
      </c>
      <c r="E9" s="18">
        <f>E8*(1-Assumptions!B8)</f>
        <v>1037080338.5466188</v>
      </c>
      <c r="F9" s="18">
        <f>F8*(1-Assumptions!B8)</f>
        <v>1078155983.2848692</v>
      </c>
      <c r="G9" s="18">
        <f>G8*(1-Assumptions!B8)</f>
        <v>1117708785.5602489</v>
      </c>
      <c r="H9" s="18">
        <f>H8*(1-Assumptions!B8)</f>
        <v>1155447330.9751573</v>
      </c>
      <c r="I9" s="18">
        <f>I8*(1-Assumptions!B8)</f>
        <v>1191084563.594821</v>
      </c>
      <c r="J9" s="18">
        <f>J8*(1-Assumptions!B8)</f>
        <v>1224341312.9946148</v>
      </c>
      <c r="K9" s="18">
        <f>K8*(1-Assumptions!B8)</f>
        <v>1254949845.8194802</v>
      </c>
    </row>
    <row r="10" spans="1:11" x14ac:dyDescent="0.25">
      <c r="A10" t="s">
        <v>53</v>
      </c>
      <c r="B10" s="18">
        <f>B6*Assumptions!B9</f>
        <v>445234725.40998274</v>
      </c>
      <c r="C10" s="18">
        <f>C6*Assumptions!B9</f>
        <v>466771265.9489771</v>
      </c>
      <c r="D10" s="18">
        <f>D6*Assumptions!B9</f>
        <v>487985929.0072818</v>
      </c>
      <c r="E10" s="18">
        <f>E6*Assumptions!B9</f>
        <v>508739191.9188707</v>
      </c>
      <c r="F10" s="18">
        <f>F6*Assumptions!B9</f>
        <v>528888826.94229543</v>
      </c>
      <c r="G10" s="18">
        <f>G6*Assumptions!B9</f>
        <v>548291432.4298346</v>
      </c>
      <c r="H10" s="18">
        <f>H6*Assumptions!B9</f>
        <v>566804055.2083938</v>
      </c>
      <c r="I10" s="18">
        <f>I6*Assumptions!B9</f>
        <v>584285880.1464312</v>
      </c>
      <c r="J10" s="18">
        <f>J6*Assumptions!B9</f>
        <v>600599960.3450879</v>
      </c>
      <c r="K10" s="18">
        <f>K6*Assumptions!B9</f>
        <v>615614959.353715</v>
      </c>
    </row>
    <row r="11" spans="1:11" x14ac:dyDescent="0.25">
      <c r="A11" t="s">
        <v>54</v>
      </c>
      <c r="B11" s="18">
        <f>-B6*B19</f>
        <v>-424428291.8604511</v>
      </c>
      <c r="C11" s="18">
        <f>-C6*C19</f>
        <v>-480552383.80849004</v>
      </c>
      <c r="D11" s="18">
        <f>-D6*D19</f>
        <v>-539605119.296935</v>
      </c>
      <c r="E11" s="18">
        <f>-E6*E19</f>
        <v>-601347942.531403</v>
      </c>
      <c r="F11" s="18">
        <f>-F6*F19</f>
        <v>-665496336.3329226</v>
      </c>
      <c r="G11" s="18">
        <f>-G6*G19</f>
        <v>-731720834.168036</v>
      </c>
      <c r="H11" s="18">
        <f>-H6*H19</f>
        <v>-799648861.423239</v>
      </c>
      <c r="I11" s="18">
        <f>-I6*I19</f>
        <v>-868867418.8840287</v>
      </c>
      <c r="J11" s="18">
        <f>-J6*J19</f>
        <v>-938926602.7573137</v>
      </c>
      <c r="K11" s="18">
        <f>-K6*K19</f>
        <v>-1009343936.0305969</v>
      </c>
    </row>
    <row r="12" spans="1:11" x14ac:dyDescent="0.25">
      <c r="A12" t="s">
        <v>55</v>
      </c>
      <c r="B12" s="18">
        <f>-(B6-Assumptions!B29)*Assumptions!B11</f>
        <v>-227567611.3816961</v>
      </c>
      <c r="C12" s="18">
        <f>-(C6-B6)*Assumptions!B11</f>
        <v>-234499471.11419326</v>
      </c>
      <c r="D12" s="18">
        <f>-(D6-C6)*Assumptions!B11</f>
        <v>-230994725.36133465</v>
      </c>
      <c r="E12" s="18">
        <f>-(E6-D6)*Assumptions!B11</f>
        <v>-225970794.51315832</v>
      </c>
      <c r="F12" s="18">
        <f>-(F6-E6)*Assumptions!B11</f>
        <v>-219398224.5004408</v>
      </c>
      <c r="G12" s="18">
        <f>-(G6-F6)*Assumptions!B11</f>
        <v>-211264233.3074411</v>
      </c>
      <c r="H12" s="18">
        <f>-(H6-G6)*Assumptions!B11</f>
        <v>-201573704.12617823</v>
      </c>
      <c r="I12" s="18">
        <f>-(I6-H6)*Assumptions!B11</f>
        <v>-190349916.90787673</v>
      </c>
      <c r="J12" s="18">
        <f>-(J6-I6)*Assumptions!B11</f>
        <v>-177634990.69744942</v>
      </c>
      <c r="K12" s="18">
        <f>-(K6-J6)*Assumptions!B11</f>
        <v>-163490014.56050995</v>
      </c>
    </row>
    <row r="13" spans="1:11" x14ac:dyDescent="0.25">
      <c r="A13" s="19" t="s">
        <v>56</v>
      </c>
      <c r="B13" s="20">
        <f>B9+B10+B11+B12</f>
        <v>700863371.4369445</v>
      </c>
      <c r="C13" s="20">
        <f>C9+C10+C11+C12</f>
        <v>703246854.1712596</v>
      </c>
      <c r="D13" s="20">
        <f>D9+D10+D11+D12</f>
        <v>712160264.3212984</v>
      </c>
      <c r="E13" s="20">
        <f>E9+E10+E11+E12</f>
        <v>718500793.4209281</v>
      </c>
      <c r="F13" s="20">
        <f>F9+F10+F11+F12</f>
        <v>722150249.3938013</v>
      </c>
      <c r="G13" s="20">
        <f>G9+G10+G11+G12</f>
        <v>723015150.5146064</v>
      </c>
      <c r="H13" s="20">
        <f>H9+H10+H11+H12</f>
        <v>721028820.6341338</v>
      </c>
      <c r="I13" s="20">
        <f>I9+I10+I11+I12</f>
        <v>716153107.9493468</v>
      </c>
      <c r="J13" s="20">
        <f>J9+J10+J11+J12</f>
        <v>708379679.8849394</v>
      </c>
      <c r="K13" s="20">
        <f>K9+K10+K11+K12</f>
        <v>697730854.5820884</v>
      </c>
    </row>
    <row r="14" spans="1:11" x14ac:dyDescent="0.25">
      <c r="A14" t="s">
        <v>57</v>
      </c>
      <c r="B14" s="21">
        <f>1/(1+Assumptions!$B$26)^(1-0.5*Assumptions!$B$32)</f>
        <v>0.96239142712964</v>
      </c>
      <c r="C14" s="21">
        <f>1/(1+Assumptions!$B$26)^(2-0.5*Assumptions!$B$32)</f>
        <v>0.8913643019047214</v>
      </c>
      <c r="D14" s="21">
        <f>1/(1+Assumptions!$B$26)^(3-0.5*Assumptions!$B$32)</f>
        <v>0.825579173205855</v>
      </c>
      <c r="E14" s="21">
        <f>1/(1+Assumptions!$B$26)^(4-0.5*Assumptions!$B$32)</f>
        <v>0.7646491673211724</v>
      </c>
      <c r="F14" s="21">
        <f>1/(1+Assumptions!$B$26)^(5-0.5*Assumptions!$B$32)</f>
        <v>0.7082159628791561</v>
      </c>
      <c r="G14" s="21">
        <f>1/(1+Assumptions!$B$26)^(6-0.5*Assumptions!$B$32)</f>
        <v>0.6559476836076615</v>
      </c>
      <c r="H14" s="21">
        <f>1/(1+Assumptions!$B$26)^(7-0.5*Assumptions!$B$32)</f>
        <v>0.6075369466130969</v>
      </c>
      <c r="I14" s="21">
        <f>1/(1+Assumptions!$B$26)^(8-0.5*Assumptions!$B$32)</f>
        <v>0.56269905470195</v>
      </c>
      <c r="J14" s="21">
        <f>1/(1+Assumptions!$B$26)^(9-0.5*Assumptions!$B$32)</f>
        <v>0.5211703221139414</v>
      </c>
      <c r="K14" s="21">
        <f>1/(1+Assumptions!$B$26)^(10-0.5*Assumptions!$B$32)</f>
        <v>0.48270652382065954</v>
      </c>
    </row>
    <row r="15" spans="1:11" x14ac:dyDescent="0.25">
      <c r="A15" s="19" t="s">
        <v>58</v>
      </c>
      <c r="B15" s="20">
        <f>B13*B14</f>
        <v>674504900.260092</v>
      </c>
      <c r="C15" s="20">
        <f>C13*C14</f>
        <v>626849141.2350563</v>
      </c>
      <c r="D15" s="20">
        <f>D13*D14</f>
        <v>587944682.2084407</v>
      </c>
      <c r="E15" s="20">
        <f>E13*E14</f>
        <v>549401033.4089143</v>
      </c>
      <c r="F15" s="20">
        <f>F13*F14</f>
        <v>511438334.2178537</v>
      </c>
      <c r="G15" s="20">
        <f>G13*G14</f>
        <v>474260113.1933008</v>
      </c>
      <c r="H15" s="20">
        <f>H13*H14</f>
        <v>438051648.10810393</v>
      </c>
      <c r="I15" s="20">
        <f>I13*I14</f>
        <v>402978676.864961</v>
      </c>
      <c r="J15" s="20">
        <f>J13*J14</f>
        <v>369186465.9446046</v>
      </c>
      <c r="K15" s="20">
        <f>K13*K14</f>
        <v>336799235.37773794</v>
      </c>
    </row>
    <row r="17" spans="1:2" x14ac:dyDescent="0.25">
      <c r="A17" s="22" t="s">
        <v>59</v>
      </c>
      <c r="B17" s="23">
        <f>SUM(B15:K15)</f>
        <v>4971414230.819065</v>
      </c>
    </row>
    <row r="19" spans="1:11" x14ac:dyDescent="0.25">
      <c r="A19" t="s">
        <v>7</v>
      </c>
      <c r="B19" s="9">
        <f>Assumptions!$B$10+($B$20-Assumptions!$B$10)*0/9</f>
        <v>0.027333269710680883</v>
      </c>
      <c r="C19" s="9">
        <f>Assumptions!$B$10+($B$20-Assumptions!$B$10)*1/9</f>
        <v>0.029519766147144605</v>
      </c>
      <c r="D19" s="9">
        <f>Assumptions!$B$10+($B$20-Assumptions!$B$10)*2/9</f>
        <v>0.03170626258360833</v>
      </c>
      <c r="E19" s="9">
        <f>Assumptions!$B$10+($B$20-Assumptions!$B$10)*3/9</f>
        <v>0.03389275902007206</v>
      </c>
      <c r="F19" s="9">
        <f>Assumptions!$B$10+($B$20-Assumptions!$B$10)*4/9</f>
        <v>0.03607925545653578</v>
      </c>
      <c r="G19" s="9">
        <f>Assumptions!$B$10+($B$20-Assumptions!$B$10)*5/9</f>
        <v>0.0382657518929995</v>
      </c>
      <c r="H19" s="9">
        <f>Assumptions!$B$10+($B$20-Assumptions!$B$10)*6/9</f>
        <v>0.040452248329463224</v>
      </c>
      <c r="I19" s="9">
        <f>Assumptions!$B$10+($B$20-Assumptions!$B$10)*7/9</f>
        <v>0.04263874476592695</v>
      </c>
      <c r="J19" s="9">
        <f>Assumptions!$B$10+($B$20-Assumptions!$B$10)*8/9</f>
        <v>0.044825241202390675</v>
      </c>
      <c r="K19" s="9">
        <f>Assumptions!$B$10+($B$20-Assumptions!$B$10)*9/9</f>
        <v>0.0470117376388544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0.0470117376388544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697730854.5820884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1254949845.8194802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0.31374080644615526</v>
      </c>
    </row>
    <row r="7" spans="1:2" x14ac:dyDescent="0.25">
      <c r="A7" t="s">
        <v>66</v>
      </c>
      <c r="B7" s="18">
        <f>-MAX(B5,0)*B6</f>
        <v>-393728976.6768819</v>
      </c>
    </row>
    <row r="8" spans="1:2" x14ac:dyDescent="0.25">
      <c r="A8" t="s">
        <v>67</v>
      </c>
      <c r="B8" s="18">
        <f>IF(OR(Assumptions!$B$33=0,Assumptions!B12&lt;=0),B5,MAX(B5+B7,0))</f>
        <v>861220869.1425983</v>
      </c>
    </row>
    <row r="9" spans="1:2" x14ac:dyDescent="0.25">
      <c r="A9" t="s">
        <v>68</v>
      </c>
      <c r="B9" s="18">
        <f>B8*(1+Assumptions!B12)/(Assumptions!B26-Assumptions!B12)</f>
        <v>16142888043.752155</v>
      </c>
    </row>
    <row r="10" spans="1:2" x14ac:dyDescent="0.25">
      <c r="A10" t="s">
        <v>69</v>
      </c>
      <c r="B10" s="18">
        <f>B9/(1+Assumptions!B26)^(10-0.5*Assumptions!B32)</f>
        <v>7792277372.02569</v>
      </c>
    </row>
    <row r="11" spans="1:2" x14ac:dyDescent="0.25">
      <c r="A11" t="s">
        <v>70</v>
      </c>
      <c r="B11" s="18">
        <f>Forecast!B17+B10</f>
        <v>12763691602.844755</v>
      </c>
    </row>
    <row r="12" spans="1:2" x14ac:dyDescent="0.25">
      <c r="A12" t="s">
        <v>71</v>
      </c>
      <c r="B12" s="18">
        <f>-Assumptions!B30</f>
        <v>-1853000000</v>
      </c>
    </row>
    <row r="13" spans="1:2" x14ac:dyDescent="0.25">
      <c r="A13" t="s">
        <v>72</v>
      </c>
      <c r="B13" s="18">
        <f>B11+B12</f>
        <v>10910691602.844755</v>
      </c>
    </row>
    <row r="14" spans="1:2" x14ac:dyDescent="0.25">
      <c r="A14" s="19" t="s">
        <v>73</v>
      </c>
      <c r="B14" s="24">
        <f>B13/Assumptions!B31</f>
        <v>60.52819626782032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2094958018.7910852</v>
      </c>
    </row>
    <row r="18" spans="1:2" x14ac:dyDescent="0.25">
      <c r="A18" t="s">
        <v>68</v>
      </c>
      <c r="B18" s="18">
        <f>B17*Assumptions!B13</f>
        <v>24461963682.964584</v>
      </c>
    </row>
    <row r="19" spans="1:2" x14ac:dyDescent="0.25">
      <c r="A19" t="s">
        <v>69</v>
      </c>
      <c r="B19" s="18">
        <f>B18/(1+Assumptions!B26)^(10-0.5*Assumptions!B32)</f>
        <v>11807949455.231052</v>
      </c>
    </row>
    <row r="20" spans="1:2" x14ac:dyDescent="0.25">
      <c r="A20" t="s">
        <v>70</v>
      </c>
      <c r="B20" s="18">
        <f>Forecast!B17+B19</f>
        <v>16779363686.050117</v>
      </c>
    </row>
    <row r="21" spans="1:2" x14ac:dyDescent="0.25">
      <c r="A21" t="s">
        <v>71</v>
      </c>
      <c r="B21" s="18">
        <f>-Assumptions!B30</f>
        <v>-1853000000</v>
      </c>
    </row>
    <row r="22" spans="1:2" x14ac:dyDescent="0.25">
      <c r="A22" t="s">
        <v>72</v>
      </c>
      <c r="B22" s="18">
        <f>B20+B21</f>
        <v>14926363686.050117</v>
      </c>
    </row>
    <row r="23" spans="1:2" x14ac:dyDescent="0.25">
      <c r="A23" s="19" t="s">
        <v>73</v>
      </c>
      <c r="B23" s="25">
        <f>B22/Assumptions!B31</f>
        <v>82.8055547384866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85.7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60.52819626782032</v>
      </c>
    </row>
    <row r="29" spans="1:2" x14ac:dyDescent="0.25">
      <c r="A29" s="19" t="s">
        <v>81</v>
      </c>
      <c r="B29" s="11">
        <f>B28/B26-1</f>
        <v>-0.2937199968749088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0.059684</v>
      </c>
      <c r="B5" s="31">
        <v>93.90558800909666</v>
      </c>
      <c r="C5" s="31">
        <v>94.609189638016</v>
      </c>
      <c r="D5" s="31">
        <v>95.87315802710376</v>
      </c>
      <c r="E5" s="31">
        <v>97.9806592389704</v>
      </c>
      <c r="F5" s="31">
        <v>101.44429221793939</v>
      </c>
    </row>
    <row r="6" spans="1:6" x14ac:dyDescent="0.25">
      <c r="A6" s="30">
        <v>0.069684</v>
      </c>
      <c r="B6" s="31">
        <v>74.34848046139209</v>
      </c>
      <c r="C6" s="31">
        <v>73.33359494519792</v>
      </c>
      <c r="D6" s="31">
        <v>72.35374069061271</v>
      </c>
      <c r="E6" s="31">
        <v>71.42215902724385</v>
      </c>
      <c r="F6" s="31">
        <v>70.55972669561268</v>
      </c>
    </row>
    <row r="7" spans="1:6" x14ac:dyDescent="0.25">
      <c r="A7" s="30">
        <v>0.079684</v>
      </c>
      <c r="B7" s="31">
        <v>62.50795848574181</v>
      </c>
      <c r="C7" s="31">
        <v>61.51789018941679</v>
      </c>
      <c r="D7" s="32">
        <v>60.52782189309173</v>
      </c>
      <c r="E7" s="31">
        <v>59.53775359676671</v>
      </c>
      <c r="F7" s="31">
        <v>58.54768530044166</v>
      </c>
    </row>
    <row r="8" spans="1:6" x14ac:dyDescent="0.25">
      <c r="A8" s="30">
        <v>0.089684</v>
      </c>
      <c r="B8" s="31">
        <v>53.698791900045855</v>
      </c>
      <c r="C8" s="31">
        <v>52.86630736311054</v>
      </c>
      <c r="D8" s="31">
        <v>52.033822826175204</v>
      </c>
      <c r="E8" s="31">
        <v>51.20133828923987</v>
      </c>
      <c r="F8" s="31">
        <v>50.36885375230454</v>
      </c>
    </row>
    <row r="9" spans="1:6" x14ac:dyDescent="0.25">
      <c r="A9" s="30">
        <v>0.099684</v>
      </c>
      <c r="B9" s="31">
        <v>46.71458767716681</v>
      </c>
      <c r="C9" s="31">
        <v>46.005193307785134</v>
      </c>
      <c r="D9" s="31">
        <v>45.29579893840345</v>
      </c>
      <c r="E9" s="31">
        <v>44.58640456902178</v>
      </c>
      <c r="F9" s="31">
        <v>43.8770101996401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14799000000</v>
      </c>
      <c r="C5" s="18">
        <v>13702000000</v>
      </c>
      <c r="D5" s="18">
        <v>13683000000</v>
      </c>
      <c r="E5" s="18">
        <v>12869000000</v>
      </c>
      <c r="F5" s="6" t="s">
        <v>91</v>
      </c>
    </row>
    <row r="6" spans="1:6" x14ac:dyDescent="0.25">
      <c r="A6" t="s">
        <v>51</v>
      </c>
      <c r="B6" s="18">
        <v>1001000000</v>
      </c>
      <c r="C6" s="18">
        <v>855000000</v>
      </c>
      <c r="D6" s="18">
        <v>1053000000</v>
      </c>
      <c r="E6" s="18">
        <v>883000000</v>
      </c>
      <c r="F6" s="6" t="s">
        <v>92</v>
      </c>
    </row>
    <row r="7" spans="1:6" x14ac:dyDescent="0.25">
      <c r="A7" t="s">
        <v>93</v>
      </c>
      <c r="B7" s="18">
        <v>401000000</v>
      </c>
      <c r="C7" s="18">
        <v>382000000</v>
      </c>
      <c r="D7" s="18">
        <v>395000000</v>
      </c>
      <c r="E7" s="18">
        <v>397000000</v>
      </c>
      <c r="F7" s="6" t="s">
        <v>94</v>
      </c>
    </row>
    <row r="8" spans="1:6" x14ac:dyDescent="0.25">
      <c r="A8" t="s">
        <v>95</v>
      </c>
      <c r="B8" s="18">
        <v>383000000</v>
      </c>
      <c r="C8" s="18">
        <v>364000000</v>
      </c>
      <c r="D8" s="18">
        <v>402000000</v>
      </c>
      <c r="E8" s="18">
        <v>354000000</v>
      </c>
      <c r="F8" s="6" t="s">
        <v>96</v>
      </c>
    </row>
    <row r="9" spans="1:6" x14ac:dyDescent="0.25">
      <c r="A9" t="s">
        <v>97</v>
      </c>
      <c r="B9" s="18">
        <v>298000000</v>
      </c>
      <c r="C9" s="18">
        <v>311000000</v>
      </c>
      <c r="D9" s="18">
        <v>38000000</v>
      </c>
      <c r="E9" s="18">
        <v>-347000000</v>
      </c>
      <c r="F9" s="6" t="s">
        <v>98</v>
      </c>
    </row>
    <row r="10" spans="1:6" x14ac:dyDescent="0.25">
      <c r="A10" t="s">
        <v>99</v>
      </c>
      <c r="B10" s="18">
        <v>3878000000</v>
      </c>
      <c r="C10" s="18">
        <v>3588000000</v>
      </c>
      <c r="D10" s="18">
        <v>3874000000</v>
      </c>
      <c r="E10" s="18">
        <v>3557000000</v>
      </c>
      <c r="F10" s="6" t="s">
        <v>100</v>
      </c>
    </row>
    <row r="11" spans="1:6" x14ac:dyDescent="0.25">
      <c r="A11" t="s">
        <v>101</v>
      </c>
      <c r="B11" s="18">
        <v>2025000000</v>
      </c>
      <c r="C11" s="18">
        <v>1441000000</v>
      </c>
      <c r="D11" s="18">
        <v>2181000000</v>
      </c>
      <c r="E11" s="18">
        <v>2035000000</v>
      </c>
      <c r="F11" s="6" t="s">
        <v>102</v>
      </c>
    </row>
    <row r="12" spans="1:6" x14ac:dyDescent="0.25">
      <c r="A12" t="s">
        <v>34</v>
      </c>
      <c r="B12" s="34">
        <v>180258000</v>
      </c>
      <c r="C12" s="34">
        <v>190307000</v>
      </c>
      <c r="D12" s="34">
        <v>201774000</v>
      </c>
      <c r="E12" s="34">
        <v>214973000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