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<sst xmlns="http://schemas.openxmlformats.org/spreadsheetml/2006/main" count="113" uniqueCount="101">
  <si>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Tyler Technologies, Inc. (TYL)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</si>
  <si>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</si>
  <si>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</si>
  <si>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</si>
  <si>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</si>
  <si>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</si>
  <si>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</si>
  <si>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</si>
  <si>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</si>
  <si>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</si>
  <si>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</si>
  <si>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</si>
  <si>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</si>
  <si>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</si>
  <si>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</si>
  <si>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</si>
  <si>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</si>
  <si>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</si>
  <si>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</si>
  <si>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</si>
  <si>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</si>
  <si>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</si>
  <si>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</si>
  <si>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</si>
  <si>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</si>
  <si>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</si>
  <si>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</si>
  <si>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</si>
  <si>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</si>
  <si>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</si>
  <si>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</si>
  <si>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</si>
  <si>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</si>
  <si>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</si>
  <si>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</si>
  <si>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</si>
  <si>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</si>
  <si>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</si>
  <si>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</si>
  <si>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</si>
  <si>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</si>
  <si>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</si>
  <si>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</si>
  <si>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</si>
  <si>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</si>
  <si>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</si>
  <si>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</si>
  <si>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</si>
  <si>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</si>
  <si>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</si>
  <si>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</si>
  <si>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</si>
  <si>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</si>
  <si>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</si>
  <si>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</si>
  <si>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</si>
  <si>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</si>
  <si>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</si>
  <si>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</si>
  <si>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</si>
  <si>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</si>
  <si>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</si>
  <si>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</si>
  <si>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</si>
  <si>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</si>
  <si>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</si>
  <si>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</si>
  <si>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</si>
  <si>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</si>
  <si>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</si>
  <si>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</si>
  <si>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</si>
  <si>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</si>
  <si>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</si>
  <si>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</si>
  <si>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</si>
  <si>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</si>
  <si>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</si>
  <si>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</si>
  <si>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</si>
  <si>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</si>
  <si>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</si>
  <si>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</si>
  <si>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</si>
  <si>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</si>
  <si>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</si>
  <si>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</si>
  <si>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</si>
  <si>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</si>
  <si>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</si>
  <si>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</si>
  <si>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</si>
  <si>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</si>
  <si>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</si>
  <si>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</si>
  <si>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</si>
  <si>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</si>
  <si>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</si>
  <si>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2.29% of revenue against depreciation of 7.88%. A business cannot depreciate more than it invests indefinitely. Capex has been set to 7.88% of revenue so the forecast is not handed free growth. Override it if the reported figure is right.</t>
  </si>
  <si>
    <t>Current EV/EBITDA of 26.4x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</si>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</sst>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0.08024951917670409</v>
      </c>
    </row>
    <row r="7" spans="1:2" x14ac:dyDescent="0.25">
      <c r="A7" t="s">
        <v>5</v>
      </c>
      <c r="B7" s="6">
        <v>0.1303078690006862</v>
      </c>
    </row>
    <row r="8" spans="1:2" x14ac:dyDescent="0.25">
      <c r="A8" t="s">
        <v>6</v>
      </c>
      <c r="B8" s="6">
        <v>0.15475256306306268</v>
      </c>
    </row>
    <row r="9" spans="1:2" x14ac:dyDescent="0.25">
      <c r="A9" t="s">
        <v>7</v>
      </c>
      <c r="B9" s="6">
        <v>0.07878751275115364</v>
      </c>
    </row>
    <row r="10" spans="1:2" x14ac:dyDescent="0.25">
      <c r="A10" t="s">
        <v>8</v>
      </c>
      <c r="B10" s="6">
        <v>0.07878751275115364</v>
      </c>
    </row>
    <row r="11" spans="1:2" x14ac:dyDescent="0.25">
      <c r="A11" t="s">
        <v>9</v>
      </c>
      <c r="B11" s="6">
        <v>-0.004047386924281368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0.09638270797305575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0.88945</v>
      </c>
      <c r="C19" s="8" t="s">
        <v>19</v>
      </c>
    </row>
    <row r="20" spans="1:2" x14ac:dyDescent="0.25">
      <c r="A20" t="s">
        <v>20</v>
      </c>
      <c r="B20" s="10">
        <f>B17+B19*B18</f>
        <v>0.09889975000000001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13821391872</v>
      </c>
    </row>
    <row r="23" spans="1:2" x14ac:dyDescent="0.25">
      <c r="A23" t="s">
        <v>24</v>
      </c>
      <c r="B23" s="11">
        <v>642608000</v>
      </c>
    </row>
    <row r="24" spans="1:2" x14ac:dyDescent="0.25">
      <c r="A24" t="s">
        <v>25</v>
      </c>
      <c r="B24" s="10">
        <f>B22/(B22+B23)</f>
        <v>0.9555719022616983</v>
      </c>
    </row>
    <row r="25" spans="1:2" x14ac:dyDescent="0.25">
      <c r="A25" t="s">
        <v>26</v>
      </c>
      <c r="B25" s="10">
        <f>1-B24</f>
        <v>0.0444280977383017</v>
      </c>
    </row>
    <row r="26" spans="1:2" x14ac:dyDescent="0.25">
      <c r="A26" t="s">
        <v>27</v>
      </c>
      <c r="B26" s="12">
        <f>B24*B20+B25*B21*(1-B8)</f>
        <v>0.09638270797305575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2332340000</v>
      </c>
      <c r="C29" s="8" t="s">
        <v>30</v>
      </c>
    </row>
    <row r="30" spans="1:2" x14ac:dyDescent="0.25">
      <c r="A30" t="s">
        <v>31</v>
      </c>
      <c r="B30" s="11">
        <v>-454592000</v>
      </c>
    </row>
    <row r="31" spans="1:2" x14ac:dyDescent="0.25">
      <c r="A31" t="s">
        <v>32</v>
      </c>
      <c r="B31" s="13">
        <v>43812000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0.08024951917670409</v>
      </c>
      <c r="C5" s="10">
        <f>Assumptions!B6</f>
        <v>0.08024951917670409</v>
      </c>
      <c r="D5" s="10">
        <f>Assumptions!B6</f>
        <v>0.08024951917670409</v>
      </c>
      <c r="E5" s="10">
        <f>Assumptions!B6</f>
        <v>0.08024951917670409</v>
      </c>
      <c r="F5" s="10">
        <f>Assumptions!B6</f>
        <v>0.08024951917670409</v>
      </c>
    </row>
    <row r="6" spans="1:6" x14ac:dyDescent="0.25">
      <c r="A6" t="s">
        <v>43</v>
      </c>
      <c r="B6" s="18">
        <f>Assumptions!B29*(1+B5)</f>
        <v>2519509163.556594</v>
      </c>
      <c r="C6" s="18">
        <f>B6*(1+C5)</f>
        <v>2721698562.4933105</v>
      </c>
      <c r="D6" s="18">
        <f>C6*(1+D5)</f>
        <v>2940113563.4773254</v>
      </c>
      <c r="E6" s="18">
        <f>D6*(1+E5)</f>
        <v>3176056263.271287</v>
      </c>
      <c r="F6" s="18">
        <f>E6*(1+F5)</f>
        <v>3430933251.276967</v>
      </c>
    </row>
    <row r="7" spans="1:6" x14ac:dyDescent="0.25">
      <c r="A7" t="s">
        <v>5</v>
      </c>
      <c r="B7" s="10">
        <f>Assumptions!B7</f>
        <v>0.1303078690006862</v>
      </c>
      <c r="C7" s="10">
        <f>Assumptions!B7</f>
        <v>0.1303078690006862</v>
      </c>
      <c r="D7" s="10">
        <f>Assumptions!B7</f>
        <v>0.1303078690006862</v>
      </c>
      <c r="E7" s="10">
        <f>Assumptions!B7</f>
        <v>0.1303078690006862</v>
      </c>
      <c r="F7" s="10">
        <f>Assumptions!B7</f>
        <v>0.1303078690006862</v>
      </c>
    </row>
    <row r="8" spans="1:6" x14ac:dyDescent="0.25">
      <c r="A8" t="s">
        <v>44</v>
      </c>
      <c r="B8" s="18">
        <f>B6*B7</f>
        <v>328311870.03076106</v>
      </c>
      <c r="C8" s="18">
        <f>C6*C7</f>
        <v>354658739.7407342</v>
      </c>
      <c r="D8" s="18">
        <f>D6*D7</f>
        <v>383119933.076744</v>
      </c>
      <c r="E8" s="18">
        <f>E6*E7</f>
        <v>413865123.49316376</v>
      </c>
      <c r="F8" s="18">
        <f>F6*F7</f>
        <v>447077600.6574974</v>
      </c>
    </row>
    <row r="9" spans="1:6" x14ac:dyDescent="0.25">
      <c r="A9" t="s">
        <v>45</v>
      </c>
      <c r="B9" s="18">
        <f>B8*(1-Assumptions!B8)</f>
        <v>277504766.6594737</v>
      </c>
      <c r="C9" s="18">
        <f>C8*(1-Assumptions!B8)</f>
        <v>299774390.7531399</v>
      </c>
      <c r="D9" s="18">
        <f>D8*(1-Assumptions!B8)</f>
        <v>323831141.47256887</v>
      </c>
      <c r="E9" s="18">
        <f>E8*(1-Assumptions!B8)</f>
        <v>349818434.87018573</v>
      </c>
      <c r="F9" s="18">
        <f>F8*(1-Assumptions!B8)</f>
        <v>377891196.06766534</v>
      </c>
    </row>
    <row r="10" spans="1:6" x14ac:dyDescent="0.25">
      <c r="A10" t="s">
        <v>46</v>
      </c>
      <c r="B10" s="18">
        <f>B6*Assumptions!B9</f>
        <v>198505860.35036358</v>
      </c>
      <c r="C10" s="18">
        <f>C6*Assumptions!B9</f>
        <v>214435860.19723824</v>
      </c>
      <c r="D10" s="18">
        <f>D6*Assumptions!B9</f>
        <v>231644234.87230957</v>
      </c>
      <c r="E10" s="18">
        <f>E6*Assumptions!B9</f>
        <v>250233573.3408679</v>
      </c>
      <c r="F10" s="18">
        <f>F6*Assumptions!B9</f>
        <v>270314697.28334105</v>
      </c>
    </row>
    <row r="11" spans="1:6" x14ac:dyDescent="0.25">
      <c r="A11" t="s">
        <v>47</v>
      </c>
      <c r="B11" s="18">
        <f>-B6*Assumptions!B10</f>
        <v>-198505860.35036358</v>
      </c>
      <c r="C11" s="18">
        <f>-C6*Assumptions!B10</f>
        <v>-214435860.19723824</v>
      </c>
      <c r="D11" s="18">
        <f>-D6*Assumptions!B10</f>
        <v>-231644234.87230957</v>
      </c>
      <c r="E11" s="18">
        <f>-E6*Assumptions!B10</f>
        <v>-250233573.3408679</v>
      </c>
      <c r="F11" s="18">
        <f>-F6*Assumptions!B10</f>
        <v>-270314697.28334105</v>
      </c>
    </row>
    <row r="12" spans="1:6" x14ac:dyDescent="0.25">
      <c r="A12" t="s">
        <v>48</v>
      </c>
      <c r="B12" s="18">
        <f>-(B6-Assumptions!B29)*Assumptions!B11</f>
        <v>757546.0252076389</v>
      </c>
      <c r="C12" s="18">
        <f>-(C6-B6)*Assumptions!B11</f>
        <v>818338.7294847757</v>
      </c>
      <c r="D12" s="18">
        <f>-(D6-C6)*Assumptions!B11</f>
        <v>884010.0190496043</v>
      </c>
      <c r="E12" s="18">
        <f>-(E6-D6)*Assumptions!B11</f>
        <v>954951.398025724</v>
      </c>
      <c r="F12" s="18">
        <f>-(F6-E6)*Assumptions!B11</f>
        <v>1031585.7885544086</v>
      </c>
    </row>
    <row r="13" spans="1:6" x14ac:dyDescent="0.25">
      <c r="A13" s="19" t="s">
        <v>49</v>
      </c>
      <c r="B13" s="20">
        <f>B9+B10+B11+B12</f>
        <v>278262312.6846813</v>
      </c>
      <c r="C13" s="20">
        <f>C9+C10+C11+C12</f>
        <v>300592729.48262477</v>
      </c>
      <c r="D13" s="20">
        <f>D9+D10+D11+D12</f>
        <v>324715151.49161845</v>
      </c>
      <c r="E13" s="20">
        <f>E9+E10+E11+E12</f>
        <v>350773386.2682115</v>
      </c>
      <c r="F13" s="20">
        <f>F9+F10+F11+F12</f>
        <v>378922781.85621977</v>
      </c>
    </row>
    <row r="14" spans="1:6" x14ac:dyDescent="0.25">
      <c r="A14" t="s">
        <v>50</v>
      </c>
      <c r="B14" s="21">
        <f>1/(1+Assumptions!$B$26)^(1-0.5*Assumptions!$B$32)</f>
        <v>0.9550341720973642</v>
      </c>
      <c r="C14" s="21">
        <f>1/(1+Assumptions!$B$26)^(2-0.5*Assumptions!$B$32)</f>
        <v>0.8710773757668884</v>
      </c>
      <c r="D14" s="21">
        <f>1/(1+Assumptions!$B$26)^(3-0.5*Assumptions!$B$32)</f>
        <v>0.7945011987440938</v>
      </c>
      <c r="E14" s="21">
        <f>1/(1+Assumptions!$B$26)^(4-0.5*Assumptions!$B$32)</f>
        <v>0.724656812777477</v>
      </c>
      <c r="F14" s="21">
        <f>1/(1+Assumptions!$B$26)^(5-0.5*Assumptions!$B$32)</f>
        <v>0.6609524279320226</v>
      </c>
    </row>
    <row r="15" spans="1:6" x14ac:dyDescent="0.25">
      <c r="A15" s="19" t="s">
        <v>51</v>
      </c>
      <c r="B15" s="20">
        <f>B13*B14</f>
        <v>265750017.42071247</v>
      </c>
      <c r="C15" s="20">
        <f>C13*C14</f>
        <v>261839525.97233096</v>
      </c>
      <c r="D15" s="20">
        <f>D13*D14</f>
        <v>257986577.11046088</v>
      </c>
      <c r="E15" s="20">
        <f>E13*E14</f>
        <v>254190324.10028493</v>
      </c>
      <c r="F15" s="20">
        <f>F13*F14</f>
        <v>250449932.6666246</v>
      </c>
    </row>
    <row r="17" spans="1:2" x14ac:dyDescent="0.25">
      <c r="A17" s="22" t="s">
        <v>52</v>
      </c>
      <c r="B17" s="23">
        <f>SUM(B15:F15)</f>
        <v>1290216377.2704139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378922781.85621977</v>
      </c>
    </row>
    <row r="5" spans="1:2" x14ac:dyDescent="0.25">
      <c r="A5" t="s">
        <v>56</v>
      </c>
      <c r="B5" s="18">
        <f>IF(Assumptions!$B$33=0,B4,B4-Forecast!F11-Forecast!F10-Forecast!F12)</f>
        <v>377891196.06766534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0.2593826270889678</v>
      </c>
    </row>
    <row r="7" spans="1:2" x14ac:dyDescent="0.25">
      <c r="A7" t="s">
        <v>58</v>
      </c>
      <c r="B7" s="18">
        <f>-MAX(Forecast!F9,0)*B6</f>
        <v>-98018411.18982325</v>
      </c>
    </row>
    <row r="8" spans="1:2" x14ac:dyDescent="0.25">
      <c r="A8" t="s">
        <v>59</v>
      </c>
      <c r="B8" s="18">
        <f>IF(OR(Assumptions!$B$33=0,Assumptions!B12&lt;=0),B5,MAX(B5+B7,0))</f>
        <v>279872784.87784207</v>
      </c>
    </row>
    <row r="9" spans="1:2" x14ac:dyDescent="0.25">
      <c r="A9" t="s">
        <v>60</v>
      </c>
      <c r="B9" s="18">
        <f>B8*(1+Assumptions!B12)/(Assumptions!B26-Assumptions!B12)</f>
        <v>4018754858.782753</v>
      </c>
    </row>
    <row r="10" spans="1:2" x14ac:dyDescent="0.25">
      <c r="A10" t="s">
        <v>61</v>
      </c>
      <c r="B10" s="18">
        <f>B9/(1+Assumptions!B26)^(5-0.5*Assumptions!B32)</f>
        <v>2656205781.176073</v>
      </c>
    </row>
    <row r="11" spans="1:2" x14ac:dyDescent="0.25">
      <c r="A11" t="s">
        <v>62</v>
      </c>
      <c r="B11" s="18">
        <f>Forecast!B17+B10</f>
        <v>3946422158.446487</v>
      </c>
    </row>
    <row r="12" spans="1:2" x14ac:dyDescent="0.25">
      <c r="A12" t="s">
        <v>63</v>
      </c>
      <c r="B12" s="18">
        <f>-Assumptions!B30</f>
        <v>454592000.0000005</v>
      </c>
    </row>
    <row r="13" spans="1:2" x14ac:dyDescent="0.25">
      <c r="A13" t="s">
        <v>64</v>
      </c>
      <c r="B13" s="18">
        <f>B11+B12</f>
        <v>4401014158.446487</v>
      </c>
    </row>
    <row r="14" spans="1:2" x14ac:dyDescent="0.25">
      <c r="A14" s="19" t="s">
        <v>65</v>
      </c>
      <c r="B14" s="24">
        <f>B13/Assumptions!B31</f>
        <v>100.45225414147922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717392297.9408385</v>
      </c>
    </row>
    <row r="18" spans="1:2" x14ac:dyDescent="0.25">
      <c r="A18" t="s">
        <v>60</v>
      </c>
      <c r="B18" s="18">
        <f>B17*Assumptions!B13</f>
        <v>14347845958.816769</v>
      </c>
    </row>
    <row r="19" spans="1:2" x14ac:dyDescent="0.25">
      <c r="A19" t="s">
        <v>61</v>
      </c>
      <c r="B19" s="18">
        <f>B18/(1+Assumptions!B26)^(5-0.5*Assumptions!B32)</f>
        <v>9483243622.074602</v>
      </c>
    </row>
    <row r="20" spans="1:2" x14ac:dyDescent="0.25">
      <c r="A20" t="s">
        <v>62</v>
      </c>
      <c r="B20" s="18">
        <f>Forecast!B17+B19</f>
        <v>10773459999.345016</v>
      </c>
    </row>
    <row r="21" spans="1:2" x14ac:dyDescent="0.25">
      <c r="A21" t="s">
        <v>63</v>
      </c>
      <c r="B21" s="18">
        <f>-Assumptions!B30</f>
        <v>454592000</v>
      </c>
    </row>
    <row r="22" spans="1:2" x14ac:dyDescent="0.25">
      <c r="A22" t="s">
        <v>64</v>
      </c>
      <c r="B22" s="18">
        <f>B20+B21</f>
        <v>11228051999.345016</v>
      </c>
    </row>
    <row r="23" spans="1:2" x14ac:dyDescent="0.25">
      <c r="A23" s="19" t="s">
        <v>65</v>
      </c>
      <c r="B23" s="25">
        <f>B22/Assumptions!B31</f>
        <v>256.2780060107965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337.5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100.45225414147922</v>
      </c>
    </row>
    <row r="29" spans="1:2" x14ac:dyDescent="0.25">
      <c r="A29" s="19" t="s">
        <v>73</v>
      </c>
      <c r="B29" s="12">
        <f>B28/B26-1</f>
        <v>-0.7023636914326542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0.076383</v>
      </c>
      <c r="B5" s="31">
        <v>123.5041472427057</v>
      </c>
      <c r="C5" s="31">
        <v>123.90955891883378</v>
      </c>
      <c r="D5" s="31">
        <v>124.31497059496188</v>
      </c>
      <c r="E5" s="31">
        <v>124.72038227108996</v>
      </c>
      <c r="F5" s="31">
        <v>125.12579394721804</v>
      </c>
    </row>
    <row r="6" spans="1:6" x14ac:dyDescent="0.25">
      <c r="A6" s="30">
        <v>0.086383</v>
      </c>
      <c r="B6" s="31">
        <v>110.30684729426575</v>
      </c>
      <c r="C6" s="31">
        <v>110.65071555507544</v>
      </c>
      <c r="D6" s="31">
        <v>110.9945838158851</v>
      </c>
      <c r="E6" s="31">
        <v>111.33845207669478</v>
      </c>
      <c r="F6" s="31">
        <v>111.68232033750444</v>
      </c>
    </row>
    <row r="7" spans="1:6" x14ac:dyDescent="0.25">
      <c r="A7" s="30">
        <v>0.096383</v>
      </c>
      <c r="B7" s="31">
        <v>99.86049449216792</v>
      </c>
      <c r="C7" s="31">
        <v>100.15623644832395</v>
      </c>
      <c r="D7" s="32">
        <v>100.45197840447997</v>
      </c>
      <c r="E7" s="31">
        <v>100.74772036063598</v>
      </c>
      <c r="F7" s="31">
        <v>101.04346231679199</v>
      </c>
    </row>
    <row r="8" spans="1:6" x14ac:dyDescent="0.25">
      <c r="A8" s="30">
        <v>0.106383</v>
      </c>
      <c r="B8" s="31">
        <v>91.38877167603691</v>
      </c>
      <c r="C8" s="31">
        <v>91.6459869432442</v>
      </c>
      <c r="D8" s="31">
        <v>91.90320221045145</v>
      </c>
      <c r="E8" s="31">
        <v>92.16041747765873</v>
      </c>
      <c r="F8" s="31">
        <v>92.41763274486598</v>
      </c>
    </row>
    <row r="9" spans="1:6" x14ac:dyDescent="0.25">
      <c r="A9" s="30">
        <v>0.116383</v>
      </c>
      <c r="B9" s="31">
        <v>84.38220453130799</v>
      </c>
      <c r="C9" s="31">
        <v>84.60798932330968</v>
      </c>
      <c r="D9" s="31">
        <v>84.83377411531137</v>
      </c>
      <c r="E9" s="31">
        <v>85.05955890731305</v>
      </c>
      <c r="F9" s="31">
        <v>85.28534369931474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2332340000</v>
      </c>
      <c r="C5" s="18">
        <v>2137803000</v>
      </c>
      <c r="D5" s="18">
        <v>1951751000</v>
      </c>
      <c r="E5" s="18">
        <v>1850204000</v>
      </c>
      <c r="F5" s="8" t="s">
        <v>84</v>
      </c>
    </row>
    <row r="6" spans="1:6" x14ac:dyDescent="0.25">
      <c r="A6" t="s">
        <v>44</v>
      </c>
      <c r="B6" s="18">
        <v>357676000</v>
      </c>
      <c r="C6" s="18">
        <v>299526000</v>
      </c>
      <c r="D6" s="18">
        <v>218537000</v>
      </c>
      <c r="E6" s="18">
        <v>214249000</v>
      </c>
      <c r="F6" s="8" t="s">
        <v>85</v>
      </c>
    </row>
    <row r="7" spans="1:6" x14ac:dyDescent="0.25">
      <c r="A7" t="s">
        <v>86</v>
      </c>
      <c r="B7" s="18">
        <v>147864000</v>
      </c>
      <c r="C7" s="18">
        <v>152369000</v>
      </c>
      <c r="D7" s="18">
        <v>170767000</v>
      </c>
      <c r="E7" s="18">
        <v>172041000</v>
      </c>
      <c r="F7" s="8" t="s">
        <v>87</v>
      </c>
    </row>
    <row r="8" spans="1:6" x14ac:dyDescent="0.25">
      <c r="A8" t="s">
        <v>88</v>
      </c>
      <c r="B8" s="18">
        <v>32793000</v>
      </c>
      <c r="C8" s="18">
        <v>49936000</v>
      </c>
      <c r="D8" s="18">
        <v>53009000</v>
      </c>
      <c r="E8" s="18">
        <v>50151000</v>
      </c>
      <c r="F8" s="8" t="s">
        <v>89</v>
      </c>
    </row>
    <row r="9" spans="1:6" x14ac:dyDescent="0.25">
      <c r="A9" t="s">
        <v>90</v>
      </c>
      <c r="B9" s="18">
        <v>19770000</v>
      </c>
      <c r="C9" s="18">
        <v>-122361000</v>
      </c>
      <c r="D9" s="18">
        <v>-411000</v>
      </c>
      <c r="E9" s="18">
        <v>-26555000</v>
      </c>
      <c r="F9" s="8" t="s">
        <v>91</v>
      </c>
    </row>
    <row r="10" spans="1:6" x14ac:dyDescent="0.25">
      <c r="A10" t="s">
        <v>92</v>
      </c>
      <c r="B10" s="18">
        <v>642608000</v>
      </c>
      <c r="C10" s="18">
        <v>638368000</v>
      </c>
      <c r="D10" s="18">
        <v>696889000</v>
      </c>
      <c r="E10" s="18">
        <v>1046174000</v>
      </c>
      <c r="F10" s="8" t="s">
        <v>93</v>
      </c>
    </row>
    <row r="11" spans="1:6" x14ac:dyDescent="0.25">
      <c r="A11" t="s">
        <v>94</v>
      </c>
      <c r="B11" s="18">
        <v>1097200000</v>
      </c>
      <c r="C11" s="18">
        <v>767978000</v>
      </c>
      <c r="D11" s="18">
        <v>175878000</v>
      </c>
      <c r="E11" s="18">
        <v>210887000</v>
      </c>
      <c r="F11" s="8" t="s">
        <v>95</v>
      </c>
    </row>
    <row r="12" spans="1:6" x14ac:dyDescent="0.25">
      <c r="A12" t="s">
        <v>32</v>
      </c>
      <c r="B12" s="34">
        <v>43812000</v>
      </c>
      <c r="C12" s="34">
        <v>43497000</v>
      </c>
      <c r="D12" s="34">
        <v>42769000</v>
      </c>
      <c r="E12" s="34">
        <v>42399000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2026-09-19T00:06:18Z</dcterms:modified>
</cp:coreProperties>
</file>