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<sst xmlns="http://schemas.openxmlformats.org/spreadsheetml/2006/main" count="121" uniqueCount="108">
  <si>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Tyler Technologies, Inc. (TYL)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</si>
  <si>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</si>
  <si>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</si>
  <si>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</si>
  <si>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</si>
  <si>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</si>
  <si>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</si>
  <si>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</si>
  <si>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</si>
  <si>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</si>
  <si>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</si>
  <si>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</si>
  <si>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</si>
  <si>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</si>
  <si>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</si>
  <si>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</si>
  <si>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</si>
  <si>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</si>
  <si>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</si>
  <si>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</si>
  <si>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</si>
  <si>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</si>
  <si>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</si>
  <si>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</si>
  <si>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71.6x interest cover. Book interest / average debt was lower, at 0.8%.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</si>
  <si>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</si>
  <si>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</si>
  <si>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</si>
  <si>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</si>
  <si>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</si>
  <si>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</si>
  <si>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</si>
  <si>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</si>
  <si>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</si>
  <si>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</si>
  <si>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</si>
  <si>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</si>
  <si>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</si>
  <si>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</si>
  <si>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</si>
  <si>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</si>
  <si>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</si>
  <si>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</si>
  <si>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</si>
  <si>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</si>
  <si>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</si>
  <si>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</si>
  <si>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</si>
  <si>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</si>
  <si>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</si>
  <si>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</si>
  <si>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</si>
  <si>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</si>
  <si>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</si>
  <si>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</si>
  <si>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</si>
  <si>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</si>
  <si>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</si>
  <si>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</si>
  <si>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</si>
  <si>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</si>
  <si>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</si>
  <si>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</si>
  <si>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</si>
  <si>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</si>
  <si>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</si>
  <si>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</si>
  <si>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</si>
  <si>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</si>
  <si>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</si>
  <si>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</si>
  <si>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</si>
  <si>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</si>
  <si>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</si>
  <si>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</si>
  <si>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</si>
  <si>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</si>
  <si>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</si>
  <si>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</si>
  <si>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</si>
  <si>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</si>
  <si>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</si>
  <si>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</si>
  <si>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</si>
  <si>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</si>
  <si>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</si>
  <si>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</si>
  <si>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</si>
  <si>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</si>
  <si>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</si>
  <si>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</si>
  <si>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</si>
  <si>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</si>
  <si>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</si>
  <si>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</si>
  <si>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</si>
  <si>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</si>
  <si>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</si>
  <si>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</si>
  <si>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</si>
  <si>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</si>
  <si>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</si>
  <si>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</si>
  <si>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</si>
  <si>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</si>
  <si>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2.29% of revenue against depreciation of 7.88%. A business cannot depreciate more than it invests indefinitely. Capex has been set to 7.88% of revenue so the forecast is not handed free growth. Override it if the reported figure is right.</t>
  </si>
  <si>
    <t>Current EV/EBITDA of 30.1x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</si>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</sst>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0.09383074080108389</v>
      </c>
    </row>
    <row r="7" spans="1:2" x14ac:dyDescent="0.25">
      <c r="A7" t="s">
        <v>4</v>
      </c>
      <c r="B7" s="5">
        <v>0.1303078690006862</v>
      </c>
    </row>
    <row r="8" spans="1:2" x14ac:dyDescent="0.25">
      <c r="A8" t="s">
        <v>5</v>
      </c>
      <c r="B8" s="5">
        <v>0.15475256306306268</v>
      </c>
    </row>
    <row r="9" spans="1:2" x14ac:dyDescent="0.25">
      <c r="A9" t="s">
        <v>6</v>
      </c>
      <c r="B9" s="5">
        <v>0.07878751275115364</v>
      </c>
    </row>
    <row r="10" spans="1:3" x14ac:dyDescent="0.25">
      <c r="A10" t="s">
        <v>7</v>
      </c>
      <c r="B10" s="5">
        <v>0.07878751275115364</v>
      </c>
      <c r="C10" s="6" t="s">
        <v>8</v>
      </c>
    </row>
    <row r="11" spans="1:2" x14ac:dyDescent="0.25">
      <c r="A11" t="s">
        <v>9</v>
      </c>
      <c r="B11" s="5">
        <v>0.2220283727339622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0.0852983255114452</v>
      </c>
      <c r="C14" s="6" t="s">
        <v>13</v>
      </c>
    </row>
    <row r="15" spans="1:3" x14ac:dyDescent="0.25">
      <c r="A15" t="s">
        <v>14</v>
      </c>
      <c r="B15" s="5">
        <v>0.07878751275115364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0.89883</v>
      </c>
      <c r="C19" s="6" t="s">
        <v>21</v>
      </c>
    </row>
    <row r="20" spans="1:2" x14ac:dyDescent="0.25">
      <c r="A20" t="s">
        <v>22</v>
      </c>
      <c r="B20" s="9">
        <f>B17+B19*B18</f>
        <v>0.086960509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15677179904</v>
      </c>
    </row>
    <row r="23" spans="1:2" x14ac:dyDescent="0.25">
      <c r="A23" t="s">
        <v>26</v>
      </c>
      <c r="B23" s="10">
        <v>642608000</v>
      </c>
    </row>
    <row r="24" spans="1:2" x14ac:dyDescent="0.25">
      <c r="A24" t="s">
        <v>27</v>
      </c>
      <c r="B24" s="9">
        <f>B22/(B22+B23)</f>
        <v>0.9606239980703122</v>
      </c>
    </row>
    <row r="25" spans="1:2" x14ac:dyDescent="0.25">
      <c r="A25" t="s">
        <v>28</v>
      </c>
      <c r="B25" s="9">
        <f>1-B24</f>
        <v>0.03937600192968782</v>
      </c>
    </row>
    <row r="26" spans="1:2" x14ac:dyDescent="0.25">
      <c r="A26" t="s">
        <v>29</v>
      </c>
      <c r="B26" s="11">
        <f>B24*B20+B25*B21*(1-B8)</f>
        <v>0.0852983255114452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2332340000</v>
      </c>
      <c r="C29" s="6" t="s">
        <v>32</v>
      </c>
    </row>
    <row r="30" spans="1:2" x14ac:dyDescent="0.25">
      <c r="A30" t="s">
        <v>33</v>
      </c>
      <c r="B30" s="10">
        <v>-454592000</v>
      </c>
    </row>
    <row r="31" spans="1:2" x14ac:dyDescent="0.25">
      <c r="A31" t="s">
        <v>34</v>
      </c>
      <c r="B31" s="12">
        <v>43812000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0.09383074080108389</v>
      </c>
      <c r="C5" s="5">
        <v>0.09771962889138597</v>
      </c>
      <c r="D5" s="5">
        <v>0.08862967527996272</v>
      </c>
      <c r="E5" s="5">
        <v>0.07953972166853948</v>
      </c>
      <c r="F5" s="5">
        <v>0.07044976805711622</v>
      </c>
      <c r="G5" s="5">
        <v>0.06135981444569298</v>
      </c>
      <c r="H5" s="5">
        <v>0.05226986083426974</v>
      </c>
      <c r="I5" s="5">
        <v>0.04317990722284649</v>
      </c>
      <c r="J5" s="5">
        <v>0.03408995361142324</v>
      </c>
      <c r="K5" s="5">
        <v>0.024999999999999994</v>
      </c>
    </row>
    <row r="6" spans="1:11" x14ac:dyDescent="0.25">
      <c r="A6" t="s">
        <v>50</v>
      </c>
      <c r="B6" s="18">
        <f>Assumptions!B29*(1+B5)</f>
        <v>2551185190</v>
      </c>
      <c r="C6" s="18">
        <f>B6*(1+C5)</f>
        <v>2800486060</v>
      </c>
      <c r="D6" s="18">
        <f>C6*(1+D5)</f>
        <v>3048692230.1238623</v>
      </c>
      <c r="E6" s="18">
        <f>D6*(1+E5)</f>
        <v>3291184361.560953</v>
      </c>
      <c r="F6" s="18">
        <f>E6*(1+F5)</f>
        <v>3523047536.4661303</v>
      </c>
      <c r="G6" s="18">
        <f>F6*(1+G5)</f>
        <v>3739221079.587048</v>
      </c>
      <c r="H6" s="18">
        <f>G6*(1+H5)</f>
        <v>3934669645.045631</v>
      </c>
      <c r="I6" s="18">
        <f>H6*(1+I5)</f>
        <v>4104568315.2712517</v>
      </c>
      <c r="J6" s="18">
        <f>I6*(1+J5)</f>
        <v>4244492858.733766</v>
      </c>
      <c r="K6" s="18">
        <f>J6*(1+K5)</f>
        <v>4350605180.20211</v>
      </c>
    </row>
    <row r="7" spans="1:11" x14ac:dyDescent="0.25">
      <c r="A7" t="s">
        <v>4</v>
      </c>
      <c r="B7" s="9">
        <f>Assumptions!B7</f>
        <v>0.1303078690006862</v>
      </c>
      <c r="C7" s="9">
        <f>Assumptions!B7</f>
        <v>0.1303078690006862</v>
      </c>
      <c r="D7" s="9">
        <f>Assumptions!B7</f>
        <v>0.1303078690006862</v>
      </c>
      <c r="E7" s="9">
        <f>Assumptions!B7</f>
        <v>0.1303078690006862</v>
      </c>
      <c r="F7" s="9">
        <f>Assumptions!B7</f>
        <v>0.1303078690006862</v>
      </c>
      <c r="G7" s="9">
        <f>Assumptions!B7</f>
        <v>0.1303078690006862</v>
      </c>
      <c r="H7" s="9">
        <f>Assumptions!B7</f>
        <v>0.1303078690006862</v>
      </c>
      <c r="I7" s="9">
        <f>Assumptions!B7</f>
        <v>0.1303078690006862</v>
      </c>
      <c r="J7" s="9">
        <f>Assumptions!B7</f>
        <v>0.1303078690006862</v>
      </c>
      <c r="K7" s="9">
        <f>Assumptions!B7</f>
        <v>0.1303078690006862</v>
      </c>
    </row>
    <row r="8" spans="1:11" x14ac:dyDescent="0.25">
      <c r="A8" t="s">
        <v>51</v>
      </c>
      <c r="B8" s="18">
        <f>B6*B7</f>
        <v>332439505.5350107</v>
      </c>
      <c r="C8" s="18">
        <f>C6*C7</f>
        <v>364925370.6447278</v>
      </c>
      <c r="D8" s="18">
        <f>D6*D7</f>
        <v>397268587.7463901</v>
      </c>
      <c r="E8" s="18">
        <f>E6*E7</f>
        <v>428867220.6433917</v>
      </c>
      <c r="F8" s="18">
        <f>F6*F7</f>
        <v>459080816.8650187</v>
      </c>
      <c r="G8" s="18">
        <f>G6*G7</f>
        <v>487249930.6034335</v>
      </c>
      <c r="H8" s="18">
        <f>H6*H7</f>
        <v>512718416.6675825</v>
      </c>
      <c r="I8" s="18">
        <f>I6*I7</f>
        <v>534857550.3307335</v>
      </c>
      <c r="J8" s="18">
        <f>J6*J7</f>
        <v>553090819.4102277</v>
      </c>
      <c r="K8" s="18">
        <f>K6*K7</f>
        <v>566918089.8954834</v>
      </c>
    </row>
    <row r="9" spans="1:11" x14ac:dyDescent="0.25">
      <c r="A9" t="s">
        <v>52</v>
      </c>
      <c r="B9" s="18">
        <f>B8*(1-Assumptions!B8)</f>
        <v>280993639.9900506</v>
      </c>
      <c r="C9" s="18">
        <f>C8*(1-Assumptions!B8)</f>
        <v>308452234.2107181</v>
      </c>
      <c r="D9" s="18">
        <f>D8*(1-Assumptions!B8)</f>
        <v>335790255.568193</v>
      </c>
      <c r="E9" s="18">
        <f>E8*(1-Assumptions!B8)</f>
        <v>362498919.03509486</v>
      </c>
      <c r="F9" s="18">
        <f>F8*(1-Assumptions!B8)</f>
        <v>388036883.8020726</v>
      </c>
      <c r="G9" s="18">
        <f>G8*(1-Assumptions!B8)</f>
        <v>411846754.9902528</v>
      </c>
      <c r="H9" s="18">
        <f>H8*(1-Assumptions!B8)</f>
        <v>433373927.5586388</v>
      </c>
      <c r="I9" s="18">
        <f>I8*(1-Assumptions!B8)</f>
        <v>452086973.54342145</v>
      </c>
      <c r="J9" s="18">
        <f>J8*(1-Assumptions!B8)</f>
        <v>467498597.49984545</v>
      </c>
      <c r="K9" s="18">
        <f>K8*(1-Assumptions!B8)</f>
        <v>479186062.4373416</v>
      </c>
    </row>
    <row r="10" spans="1:11" x14ac:dyDescent="0.25">
      <c r="A10" t="s">
        <v>53</v>
      </c>
      <c r="B10" s="18">
        <f>B6*Assumptions!B9</f>
        <v>201001535.68767932</v>
      </c>
      <c r="C10" s="18">
        <f>C6*Assumptions!B9</f>
        <v>220643331.16167802</v>
      </c>
      <c r="D10" s="18">
        <f>D6*Assumptions!B9</f>
        <v>240198877.95522684</v>
      </c>
      <c r="E10" s="18">
        <f>E6*Assumptions!B9</f>
        <v>259304229.85288104</v>
      </c>
      <c r="F10" s="18">
        <f>F6*Assumptions!B9</f>
        <v>277572152.70224565</v>
      </c>
      <c r="G10" s="18">
        <f>G6*Assumptions!B9</f>
        <v>294603928.48734707</v>
      </c>
      <c r="H10" s="18">
        <f>H6*Assumptions!B9</f>
        <v>310002834.8306098</v>
      </c>
      <c r="I10" s="18">
        <f>I6*Assumptions!B9</f>
        <v>323388728.47741497</v>
      </c>
      <c r="J10" s="18">
        <f>J6*Assumptions!B9</f>
        <v>334413035.2296672</v>
      </c>
      <c r="K10" s="18">
        <f>K6*Assumptions!B9</f>
        <v>342773361.11040884</v>
      </c>
    </row>
    <row r="11" spans="1:11" x14ac:dyDescent="0.25">
      <c r="A11" t="s">
        <v>54</v>
      </c>
      <c r="B11" s="18">
        <f>-B6*B19</f>
        <v>-201001535.68767932</v>
      </c>
      <c r="C11" s="18">
        <f>-C6*C19</f>
        <v>-230688214.88664016</v>
      </c>
      <c r="D11" s="18">
        <f>-D6*D19</f>
        <v>-262069194.9706879</v>
      </c>
      <c r="E11" s="18">
        <f>-E6*E19</f>
        <v>-294719043.7683914</v>
      </c>
      <c r="F11" s="18">
        <f>-F6*F19</f>
        <v>-328118525.15777093</v>
      </c>
      <c r="G11" s="18">
        <f>-G6*G19</f>
        <v>-361663789.100221</v>
      </c>
      <c r="H11" s="18">
        <f>-H6*H19</f>
        <v>-394680919.06421906</v>
      </c>
      <c r="I11" s="18">
        <f>-I6*I19</f>
        <v>-426445617.2078107</v>
      </c>
      <c r="J11" s="18">
        <f>-J6*J19</f>
        <v>-456207427.5571558</v>
      </c>
      <c r="K11" s="18">
        <f>-K6*K19</f>
        <v>-483217519.7630442</v>
      </c>
    </row>
    <row r="12" spans="1:11" x14ac:dyDescent="0.25">
      <c r="A12" t="s">
        <v>55</v>
      </c>
      <c r="B12" s="18">
        <f>-(B6-Assumptions!B29)*Assumptions!B11</f>
        <v>-48589841.416354775</v>
      </c>
      <c r="C12" s="18">
        <f>-(C6-B6)*Assumptions!B11</f>
        <v>-55351866.48726106</v>
      </c>
      <c r="D12" s="18">
        <f>-(D6-C6)*Assumptions!B11</f>
        <v>-55108812.055130124</v>
      </c>
      <c r="E12" s="18">
        <f>-(E6-D6)*Assumptions!B11</f>
        <v>-53840133.34376737</v>
      </c>
      <c r="F12" s="18">
        <f>-(F6-E6)*Assumptions!B11</f>
        <v>-51480203.42112654</v>
      </c>
      <c r="G12" s="18">
        <f>-(G6-F6)*Assumptions!B11</f>
        <v>-47996660.007272385</v>
      </c>
      <c r="H12" s="18">
        <f>-(H6-G6)*Assumptions!B11</f>
        <v>-43395126.941956446</v>
      </c>
      <c r="I12" s="18">
        <f>-(I6-H6)*Assumptions!B11</f>
        <v>-37722325.27985865</v>
      </c>
      <c r="J12" s="18">
        <f>-(J6-I6)*Assumptions!B11</f>
        <v>-31067218.69052464</v>
      </c>
      <c r="K12" s="18">
        <f>-(K6-J6)*Assumptions!B11</f>
        <v>-23559946.06263955</v>
      </c>
    </row>
    <row r="13" spans="1:11" x14ac:dyDescent="0.25">
      <c r="A13" s="19" t="s">
        <v>56</v>
      </c>
      <c r="B13" s="20">
        <f>B9+B10+B11+B12</f>
        <v>232403798.5736959</v>
      </c>
      <c r="C13" s="20">
        <f>C9+C10+C11+C12</f>
        <v>243055483.99849486</v>
      </c>
      <c r="D13" s="20">
        <f>D9+D10+D11+D12</f>
        <v>258811126.49760187</v>
      </c>
      <c r="E13" s="20">
        <f>E9+E10+E11+E12</f>
        <v>273243971.7758172</v>
      </c>
      <c r="F13" s="20">
        <f>F9+F10+F11+F12</f>
        <v>286010307.92542076</v>
      </c>
      <c r="G13" s="20">
        <f>G9+G10+G11+G12</f>
        <v>296790234.3701065</v>
      </c>
      <c r="H13" s="20">
        <f>H9+H10+H11+H12</f>
        <v>305300716.3830731</v>
      </c>
      <c r="I13" s="20">
        <f>I9+I10+I11+I12</f>
        <v>311307759.533167</v>
      </c>
      <c r="J13" s="20">
        <f>J9+J10+J11+J12</f>
        <v>314636986.48183227</v>
      </c>
      <c r="K13" s="20">
        <f>K9+K10+K11+K12</f>
        <v>315181957.72206676</v>
      </c>
    </row>
    <row r="14" spans="1:11" x14ac:dyDescent="0.25">
      <c r="A14" t="s">
        <v>57</v>
      </c>
      <c r="B14" s="21">
        <f>1/(1+Assumptions!$B$26)^(1-0.5*Assumptions!$B$32)</f>
        <v>0.9598987663552967</v>
      </c>
      <c r="C14" s="21">
        <f>1/(1+Assumptions!$B$26)^(2-0.5*Assumptions!$B$32)</f>
        <v>0.884456138733049</v>
      </c>
      <c r="D14" s="21">
        <f>1/(1+Assumptions!$B$26)^(3-0.5*Assumptions!$B$32)</f>
        <v>0.8149428760209784</v>
      </c>
      <c r="E14" s="21">
        <f>1/(1+Assumptions!$B$26)^(4-0.5*Assumptions!$B$32)</f>
        <v>0.7508929635885485</v>
      </c>
      <c r="F14" s="21">
        <f>1/(1+Assumptions!$B$26)^(5-0.5*Assumptions!$B$32)</f>
        <v>0.6918770129260923</v>
      </c>
      <c r="G14" s="21">
        <f>1/(1+Assumptions!$B$26)^(6-0.5*Assumptions!$B$32)</f>
        <v>0.6374993830383423</v>
      </c>
      <c r="H14" s="21">
        <f>1/(1+Assumptions!$B$26)^(7-0.5*Assumptions!$B$32)</f>
        <v>0.5873955280801909</v>
      </c>
      <c r="I14" s="21">
        <f>1/(1+Assumptions!$B$26)^(8-0.5*Assumptions!$B$32)</f>
        <v>0.5412295534533158</v>
      </c>
      <c r="J14" s="21">
        <f>1/(1+Assumptions!$B$26)^(9-0.5*Assumptions!$B$32)</f>
        <v>0.49869196397982296</v>
      </c>
      <c r="K14" s="21">
        <f>1/(1+Assumptions!$B$26)^(10-0.5*Assumptions!$B$32)</f>
        <v>0.4594975890567371</v>
      </c>
    </row>
    <row r="15" spans="1:11" x14ac:dyDescent="0.25">
      <c r="A15" s="19" t="s">
        <v>58</v>
      </c>
      <c r="B15" s="20">
        <f>B13*B14</f>
        <v>223084119.54717556</v>
      </c>
      <c r="C15" s="20">
        <f>C13*C14</f>
        <v>214971914.87520114</v>
      </c>
      <c r="D15" s="20">
        <f>D13*D14</f>
        <v>210916283.7741849</v>
      </c>
      <c r="E15" s="20">
        <f>E13*E14</f>
        <v>205176975.7494491</v>
      </c>
      <c r="F15" s="20">
        <f>F13*F14</f>
        <v>197883957.513512</v>
      </c>
      <c r="G15" s="20">
        <f>G13*G14</f>
        <v>189203591.30274794</v>
      </c>
      <c r="H15" s="20">
        <f>H13*H14</f>
        <v>179332275.52309582</v>
      </c>
      <c r="I15" s="20">
        <f>I13*I14</f>
        <v>168488959.6786882</v>
      </c>
      <c r="J15" s="20">
        <f>J13*J14</f>
        <v>156906936.72931793</v>
      </c>
      <c r="K15" s="20">
        <f>K13*K14</f>
        <v>144825349.6874721</v>
      </c>
    </row>
    <row r="17" spans="1:2" x14ac:dyDescent="0.25">
      <c r="A17" s="22" t="s">
        <v>59</v>
      </c>
      <c r="B17" s="23">
        <f>SUM(B15:K15)</f>
        <v>1890790364.3808448</v>
      </c>
    </row>
    <row r="19" spans="1:11" x14ac:dyDescent="0.25">
      <c r="A19" t="s">
        <v>7</v>
      </c>
      <c r="B19" s="9">
        <f>Assumptions!$B$10+($B$20-Assumptions!$B$10)*0/9</f>
        <v>0.07878751275115364</v>
      </c>
      <c r="C19" s="9">
        <f>Assumptions!$B$10+($B$20-Assumptions!$B$10)*1/9</f>
        <v>0.08237434857527559</v>
      </c>
      <c r="D19" s="9">
        <f>Assumptions!$B$10+($B$20-Assumptions!$B$10)*2/9</f>
        <v>0.08596118439939755</v>
      </c>
      <c r="E19" s="9">
        <f>Assumptions!$B$10+($B$20-Assumptions!$B$10)*3/9</f>
        <v>0.0895480202235195</v>
      </c>
      <c r="F19" s="9">
        <f>Assumptions!$B$10+($B$20-Assumptions!$B$10)*4/9</f>
        <v>0.09313485604764146</v>
      </c>
      <c r="G19" s="9">
        <f>Assumptions!$B$10+($B$20-Assumptions!$B$10)*5/9</f>
        <v>0.09672169187176341</v>
      </c>
      <c r="H19" s="9">
        <f>Assumptions!$B$10+($B$20-Assumptions!$B$10)*6/9</f>
        <v>0.10030852769588536</v>
      </c>
      <c r="I19" s="9">
        <f>Assumptions!$B$10+($B$20-Assumptions!$B$10)*7/9</f>
        <v>0.10389536352000732</v>
      </c>
      <c r="J19" s="9">
        <f>Assumptions!$B$10+($B$20-Assumptions!$B$10)*8/9</f>
        <v>0.10748219934412928</v>
      </c>
      <c r="K19" s="9">
        <f>Assumptions!$B$10+($B$20-Assumptions!$B$10)*9/9</f>
        <v>0.11106903516825123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0.11106903516825123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315181957.72206676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479186062.4373416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0.29308898914604764</v>
      </c>
    </row>
    <row r="7" spans="1:2" x14ac:dyDescent="0.25">
      <c r="A7" t="s">
        <v>66</v>
      </c>
      <c r="B7" s="18">
        <f>-MAX(B5,0)*B6</f>
        <v>-140444158.6526353</v>
      </c>
    </row>
    <row r="8" spans="1:2" x14ac:dyDescent="0.25">
      <c r="A8" t="s">
        <v>67</v>
      </c>
      <c r="B8" s="18">
        <f>IF(OR(Assumptions!$B$33=0,Assumptions!B12&lt;=0),B5,MAX(B5+B7,0))</f>
        <v>338741903.78470623</v>
      </c>
    </row>
    <row r="9" spans="1:2" x14ac:dyDescent="0.25">
      <c r="A9" t="s">
        <v>68</v>
      </c>
      <c r="B9" s="18">
        <f>B8*(1+Assumptions!B12)/(Assumptions!B26-Assumptions!B12)</f>
        <v>5758210504.758046</v>
      </c>
    </row>
    <row r="10" spans="1:2" x14ac:dyDescent="0.25">
      <c r="A10" t="s">
        <v>69</v>
      </c>
      <c r="B10" s="18">
        <f>B9/(1+Assumptions!B26)^(10-0.5*Assumptions!B32)</f>
        <v>2645883844.2174993</v>
      </c>
    </row>
    <row r="11" spans="1:2" x14ac:dyDescent="0.25">
      <c r="A11" t="s">
        <v>70</v>
      </c>
      <c r="B11" s="18">
        <f>Forecast!B17+B10</f>
        <v>4536674208.598344</v>
      </c>
    </row>
    <row r="12" spans="1:2" x14ac:dyDescent="0.25">
      <c r="A12" t="s">
        <v>71</v>
      </c>
      <c r="B12" s="18">
        <f>-Assumptions!B30</f>
        <v>454592000</v>
      </c>
    </row>
    <row r="13" spans="1:2" x14ac:dyDescent="0.25">
      <c r="A13" t="s">
        <v>72</v>
      </c>
      <c r="B13" s="18">
        <f>B11+B12</f>
        <v>4991266208.598344</v>
      </c>
    </row>
    <row r="14" spans="1:2" x14ac:dyDescent="0.25">
      <c r="A14" s="19" t="s">
        <v>73</v>
      </c>
      <c r="B14" s="24">
        <f>B13/Assumptions!B31</f>
        <v>113.92463728198538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909691451.0058923</v>
      </c>
    </row>
    <row r="18" spans="1:2" x14ac:dyDescent="0.25">
      <c r="A18" t="s">
        <v>68</v>
      </c>
      <c r="B18" s="18">
        <f>B17*Assumptions!B13</f>
        <v>18193829020.117844</v>
      </c>
    </row>
    <row r="19" spans="1:2" x14ac:dyDescent="0.25">
      <c r="A19" t="s">
        <v>69</v>
      </c>
      <c r="B19" s="18">
        <f>B18/(1+Assumptions!B26)^(10-0.5*Assumptions!B32)</f>
        <v>8360020570.454647</v>
      </c>
    </row>
    <row r="20" spans="1:2" x14ac:dyDescent="0.25">
      <c r="A20" t="s">
        <v>70</v>
      </c>
      <c r="B20" s="18">
        <f>Forecast!B17+B19</f>
        <v>10250810934.835491</v>
      </c>
    </row>
    <row r="21" spans="1:2" x14ac:dyDescent="0.25">
      <c r="A21" t="s">
        <v>71</v>
      </c>
      <c r="B21" s="18">
        <f>-Assumptions!B30</f>
        <v>454592000</v>
      </c>
    </row>
    <row r="22" spans="1:2" x14ac:dyDescent="0.25">
      <c r="A22" t="s">
        <v>72</v>
      </c>
      <c r="B22" s="18">
        <f>B20+B21</f>
        <v>10705402934.835491</v>
      </c>
    </row>
    <row r="23" spans="1:2" x14ac:dyDescent="0.25">
      <c r="A23" s="19" t="s">
        <v>73</v>
      </c>
      <c r="B23" s="25">
        <f>B22/Assumptions!B31</f>
        <v>244.34864728465925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394.3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113.92463728198538</v>
      </c>
    </row>
    <row r="29" spans="1:2" x14ac:dyDescent="0.25">
      <c r="A29" s="19" t="s">
        <v>81</v>
      </c>
      <c r="B29" s="11">
        <f>B28/B26-1</f>
        <v>-0.7110711709815233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0.065298</v>
      </c>
      <c r="B5" s="31">
        <v>152.71879820242944</v>
      </c>
      <c r="C5" s="31">
        <v>150.73324026038952</v>
      </c>
      <c r="D5" s="31">
        <v>148.74768231834958</v>
      </c>
      <c r="E5" s="31">
        <v>146.76212437630966</v>
      </c>
      <c r="F5" s="31">
        <v>144.7765664342697</v>
      </c>
    </row>
    <row r="6" spans="1:6" x14ac:dyDescent="0.25">
      <c r="A6" s="30">
        <v>0.075298</v>
      </c>
      <c r="B6" s="31">
        <v>132.22391908420545</v>
      </c>
      <c r="C6" s="31">
        <v>130.59765860538252</v>
      </c>
      <c r="D6" s="31">
        <v>128.97139812655956</v>
      </c>
      <c r="E6" s="31">
        <v>127.34513764773662</v>
      </c>
      <c r="F6" s="31">
        <v>125.71887716891369</v>
      </c>
    </row>
    <row r="7" spans="1:6" x14ac:dyDescent="0.25">
      <c r="A7" s="30">
        <v>0.085298</v>
      </c>
      <c r="B7" s="31">
        <v>116.63920193059427</v>
      </c>
      <c r="C7" s="31">
        <v>115.28213506771381</v>
      </c>
      <c r="D7" s="32">
        <v>113.92506820483327</v>
      </c>
      <c r="E7" s="31">
        <v>112.56800134195278</v>
      </c>
      <c r="F7" s="31">
        <v>111.21093447907228</v>
      </c>
    </row>
    <row r="8" spans="1:6" x14ac:dyDescent="0.25">
      <c r="A8" s="30">
        <v>0.095298</v>
      </c>
      <c r="B8" s="31">
        <v>104.41148983141365</v>
      </c>
      <c r="C8" s="31">
        <v>103.26230088446603</v>
      </c>
      <c r="D8" s="31">
        <v>102.11311193751838</v>
      </c>
      <c r="E8" s="31">
        <v>100.96392299057077</v>
      </c>
      <c r="F8" s="31">
        <v>99.81473404362312</v>
      </c>
    </row>
    <row r="9" spans="1:6" x14ac:dyDescent="0.25">
      <c r="A9" s="30">
        <v>0.105298</v>
      </c>
      <c r="B9" s="31">
        <v>94.57824574469105</v>
      </c>
      <c r="C9" s="31">
        <v>93.59343651769926</v>
      </c>
      <c r="D9" s="31">
        <v>92.60862729070742</v>
      </c>
      <c r="E9" s="31">
        <v>91.62381806371562</v>
      </c>
      <c r="F9" s="31">
        <v>90.63900883672382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2332340000</v>
      </c>
      <c r="C5" s="18">
        <v>2137803000</v>
      </c>
      <c r="D5" s="18">
        <v>1951751000</v>
      </c>
      <c r="E5" s="18">
        <v>1850204000</v>
      </c>
      <c r="F5" s="6" t="s">
        <v>91</v>
      </c>
    </row>
    <row r="6" spans="1:6" x14ac:dyDescent="0.25">
      <c r="A6" t="s">
        <v>51</v>
      </c>
      <c r="B6" s="18">
        <v>357676000</v>
      </c>
      <c r="C6" s="18">
        <v>299526000</v>
      </c>
      <c r="D6" s="18">
        <v>218537000</v>
      </c>
      <c r="E6" s="18">
        <v>214249000</v>
      </c>
      <c r="F6" s="6" t="s">
        <v>92</v>
      </c>
    </row>
    <row r="7" spans="1:6" x14ac:dyDescent="0.25">
      <c r="A7" t="s">
        <v>93</v>
      </c>
      <c r="B7" s="18">
        <v>147864000</v>
      </c>
      <c r="C7" s="18">
        <v>152369000</v>
      </c>
      <c r="D7" s="18">
        <v>170767000</v>
      </c>
      <c r="E7" s="18">
        <v>172041000</v>
      </c>
      <c r="F7" s="6" t="s">
        <v>94</v>
      </c>
    </row>
    <row r="8" spans="1:6" x14ac:dyDescent="0.25">
      <c r="A8" t="s">
        <v>95</v>
      </c>
      <c r="B8" s="18">
        <v>32793000</v>
      </c>
      <c r="C8" s="18">
        <v>49936000</v>
      </c>
      <c r="D8" s="18">
        <v>53009000</v>
      </c>
      <c r="E8" s="18">
        <v>50151000</v>
      </c>
      <c r="F8" s="6" t="s">
        <v>96</v>
      </c>
    </row>
    <row r="9" spans="1:6" x14ac:dyDescent="0.25">
      <c r="A9" t="s">
        <v>97</v>
      </c>
      <c r="B9" s="18">
        <v>19770000</v>
      </c>
      <c r="C9" s="18">
        <v>-122361000</v>
      </c>
      <c r="D9" s="18">
        <v>-411000</v>
      </c>
      <c r="E9" s="18">
        <v>-26555000</v>
      </c>
      <c r="F9" s="6" t="s">
        <v>98</v>
      </c>
    </row>
    <row r="10" spans="1:6" x14ac:dyDescent="0.25">
      <c r="A10" t="s">
        <v>99</v>
      </c>
      <c r="B10" s="18">
        <v>642608000</v>
      </c>
      <c r="C10" s="18">
        <v>638368000</v>
      </c>
      <c r="D10" s="18">
        <v>696889000</v>
      </c>
      <c r="E10" s="18">
        <v>1046174000</v>
      </c>
      <c r="F10" s="6" t="s">
        <v>100</v>
      </c>
    </row>
    <row r="11" spans="1:6" x14ac:dyDescent="0.25">
      <c r="A11" t="s">
        <v>101</v>
      </c>
      <c r="B11" s="18">
        <v>1097200000</v>
      </c>
      <c r="C11" s="18">
        <v>767978000</v>
      </c>
      <c r="D11" s="18">
        <v>175878000</v>
      </c>
      <c r="E11" s="18">
        <v>210887000</v>
      </c>
      <c r="F11" s="6" t="s">
        <v>102</v>
      </c>
    </row>
    <row r="12" spans="1:6" x14ac:dyDescent="0.25">
      <c r="A12" t="s">
        <v>34</v>
      </c>
      <c r="B12" s="34">
        <v>43812000</v>
      </c>
      <c r="C12" s="34">
        <v>43497000</v>
      </c>
      <c r="D12" s="34">
        <v>42769000</v>
      </c>
      <c r="E12" s="34">
        <v>42399000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