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<sst xmlns="http://schemas.openxmlformats.org/spreadsheetml/2006/main" count="114" uniqueCount="102">
  <si>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United Overseas Bank Limited (U11.SI)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</si>
  <si>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</si>
  <si>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</si>
  <si>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</si>
  <si>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</si>
  <si>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</si>
  <si>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</si>
  <si>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</si>
  <si>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</si>
  <si>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</si>
  <si>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</si>
  <si>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</si>
  <si>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</si>
  <si>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</si>
  <si>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</si>
  <si>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</si>
  <si>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</si>
  <si>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</si>
  <si>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</si>
  <si>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</si>
  <si>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</si>
  <si>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</si>
  <si>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25.9% is not a credible funding cost, so risk-free + 2bp is assumed instead. Interest expense and reported debt are measuring different things - common for banks, whose interest expense includes deposits that total debt excludes.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</si>
  <si>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</si>
  <si>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</si>
  <si>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</si>
  <si>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</si>
  <si>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</si>
  <si>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</si>
  <si>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</si>
  <si>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2025-12-31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</si>
  <si>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</si>
  <si>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</si>
  <si>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</si>
  <si>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</si>
  <si>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</si>
  <si>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</si>
  <si>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</si>
  <si>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</si>
  <si>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</si>
  <si>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</si>
  <si>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</si>
  <si>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</si>
  <si>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</si>
  <si>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</si>
  <si>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</si>
  <si>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</si>
  <si>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</si>
  <si>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</si>
  <si>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</si>
  <si>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</si>
  <si>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</si>
  <si>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</si>
  <si>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</si>
  <si>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</si>
  <si>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</si>
  <si>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</si>
  <si>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</si>
  <si>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</si>
  <si>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</si>
  <si>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</si>
  <si>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</si>
  <si>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</si>
  <si>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</si>
  <si>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</si>
  <si>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</si>
  <si>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</si>
  <si>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</si>
  <si>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</si>
  <si>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</si>
  <si>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</si>
  <si>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</si>
  <si>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</si>
  <si>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</si>
  <si>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</si>
  <si>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</si>
  <si>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</si>
  <si>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</si>
  <si>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</si>
  <si>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</si>
  <si>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</si>
  <si>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</si>
  <si>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</si>
  <si>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</si>
  <si>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</si>
  <si>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</si>
  <si>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</si>
  <si>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</si>
  <si>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</si>
  <si>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</si>
  <si>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</si>
  <si>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</si>
  <si>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</si>
  <si>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</si>
  <si>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</si>
  <si>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</si>
  <si>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</si>
  <si>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</si>
  <si>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</si>
  <si>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Capital expenditure runs at 6.9% of revenue against depreciation of 4.9%.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</si>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</sst>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0.060476617520446085</v>
      </c>
    </row>
    <row r="7" spans="1:2" x14ac:dyDescent="0.25">
      <c r="A7" t="s">
        <v>5</v>
      </c>
      <c r="B7" s="6">
        <v>0.47547083078572616</v>
      </c>
    </row>
    <row r="8" spans="1:2" x14ac:dyDescent="0.25">
      <c r="A8" t="s">
        <v>6</v>
      </c>
      <c r="B8" s="6">
        <v>0.16793574880027146</v>
      </c>
    </row>
    <row r="9" spans="1:2" x14ac:dyDescent="0.25">
      <c r="A9" t="s">
        <v>7</v>
      </c>
      <c r="B9" s="6">
        <v>0.048640668500023784</v>
      </c>
    </row>
    <row r="10" spans="1:2" x14ac:dyDescent="0.25">
      <c r="A10" t="s">
        <v>8</v>
      </c>
      <c r="B10" s="6">
        <v>0.06903257743702708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8.122259390926041</v>
      </c>
    </row>
    <row r="14" spans="1:3" x14ac:dyDescent="0.25">
      <c r="A14" t="s">
        <v>12</v>
      </c>
      <c r="B14" s="6">
        <v>0.06867984300432353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0.58326</v>
      </c>
      <c r="C19" s="8" t="s">
        <v>19</v>
      </c>
    </row>
    <row r="20" spans="1:2" x14ac:dyDescent="0.25">
      <c r="A20" t="s">
        <v>20</v>
      </c>
      <c r="B20" s="10">
        <f>B17+B19*B18</f>
        <v>0.07991190000000001</v>
      </c>
    </row>
    <row r="21" spans="1:3" x14ac:dyDescent="0.25">
      <c r="A21" t="s">
        <v>21</v>
      </c>
      <c r="B21" s="6">
        <v>0.062</v>
      </c>
      <c r="C21" s="8" t="s">
        <v>22</v>
      </c>
    </row>
    <row r="22" spans="1:2" x14ac:dyDescent="0.25">
      <c r="A22" t="s">
        <v>23</v>
      </c>
      <c r="B22" s="11">
        <v>68876861440</v>
      </c>
    </row>
    <row r="23" spans="1:2" x14ac:dyDescent="0.25">
      <c r="A23" t="s">
        <v>24</v>
      </c>
      <c r="B23" s="11">
        <v>45263000000</v>
      </c>
    </row>
    <row r="24" spans="1:2" x14ac:dyDescent="0.25">
      <c r="A24" t="s">
        <v>25</v>
      </c>
      <c r="B24" s="10">
        <f>B22/(B22+B23)</f>
        <v>0.6034426586035989</v>
      </c>
    </row>
    <row r="25" spans="1:2" x14ac:dyDescent="0.25">
      <c r="A25" t="s">
        <v>26</v>
      </c>
      <c r="B25" s="10">
        <f>1-B24</f>
        <v>0.3965573413964011</v>
      </c>
    </row>
    <row r="26" spans="1:2" x14ac:dyDescent="0.25">
      <c r="A26" t="s">
        <v>27</v>
      </c>
      <c r="B26" s="12">
        <f>B24*B20+B25*B21*(1-B8)</f>
        <v>0.06867984300432353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13807000000</v>
      </c>
      <c r="C29" s="8" t="s">
        <v>30</v>
      </c>
    </row>
    <row r="30" spans="1:2" x14ac:dyDescent="0.25">
      <c r="A30" t="s">
        <v>31</v>
      </c>
      <c r="B30" s="11">
        <v>-16602000000</v>
      </c>
    </row>
    <row r="31" spans="1:2" x14ac:dyDescent="0.25">
      <c r="A31" t="s">
        <v>32</v>
      </c>
      <c r="B31" s="13">
        <v>1671416000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0.060476617520446085</v>
      </c>
      <c r="C5" s="10">
        <f>Assumptions!B6</f>
        <v>0.060476617520446085</v>
      </c>
      <c r="D5" s="10">
        <f>Assumptions!B6</f>
        <v>0.060476617520446085</v>
      </c>
      <c r="E5" s="10">
        <f>Assumptions!B6</f>
        <v>0.060476617520446085</v>
      </c>
      <c r="F5" s="10">
        <f>Assumptions!B6</f>
        <v>0.060476617520446085</v>
      </c>
    </row>
    <row r="6" spans="1:6" x14ac:dyDescent="0.25">
      <c r="A6" t="s">
        <v>43</v>
      </c>
      <c r="B6" s="18">
        <f>Assumptions!B29*(1+B5)</f>
        <v>14642000658.1048</v>
      </c>
      <c r="C6" s="18">
        <f>B6*(1+C5)</f>
        <v>15527499331.639124</v>
      </c>
      <c r="D6" s="18">
        <f>C6*(1+D5)</f>
        <v>16466549969.767645</v>
      </c>
      <c r="E6" s="18">
        <f>D6*(1+E5)</f>
        <v>17462391214.170597</v>
      </c>
      <c r="F6" s="18">
        <f>E6*(1+F5)</f>
        <v>18518457568.62239</v>
      </c>
    </row>
    <row r="7" spans="1:6" x14ac:dyDescent="0.25">
      <c r="A7" t="s">
        <v>5</v>
      </c>
      <c r="B7" s="10">
        <f>Assumptions!B7</f>
        <v>0.47547083078572616</v>
      </c>
      <c r="C7" s="10">
        <f>Assumptions!B7</f>
        <v>0.47547083078572616</v>
      </c>
      <c r="D7" s="10">
        <f>Assumptions!B7</f>
        <v>0.47547083078572616</v>
      </c>
      <c r="E7" s="10">
        <f>Assumptions!B7</f>
        <v>0.47547083078572616</v>
      </c>
      <c r="F7" s="10">
        <f>Assumptions!B7</f>
        <v>0.47547083078572616</v>
      </c>
    </row>
    <row r="8" spans="1:6" x14ac:dyDescent="0.25">
      <c r="A8" t="s">
        <v>44</v>
      </c>
      <c r="B8" s="18">
        <f>B6*B7</f>
        <v>6961844217.274239</v>
      </c>
      <c r="C8" s="18">
        <f>C6*C7</f>
        <v>7382873007.239262</v>
      </c>
      <c r="D8" s="18">
        <f>D6*D7</f>
        <v>7829364194.3000965</v>
      </c>
      <c r="E8" s="18">
        <f>E6*E7</f>
        <v>8302857658.1070595</v>
      </c>
      <c r="F8" s="18">
        <f>F6*F7</f>
        <v>8804986405.023108</v>
      </c>
    </row>
    <row r="9" spans="1:6" x14ac:dyDescent="0.25">
      <c r="A9" t="s">
        <v>45</v>
      </c>
      <c r="B9" s="18">
        <f>B8*(1-Assumptions!B8)</f>
        <v>5792701695.615449</v>
      </c>
      <c r="C9" s="18">
        <f>C8*(1-Assumptions!B8)</f>
        <v>6143024700.471224</v>
      </c>
      <c r="D9" s="18">
        <f>D8*(1-Assumptions!B8)</f>
        <v>6514534055.700275</v>
      </c>
      <c r="E9" s="18">
        <f>E8*(1-Assumptions!B8)</f>
        <v>6908511040.110782</v>
      </c>
      <c r="F9" s="18">
        <f>F8*(1-Assumptions!B8)</f>
        <v>7326314419.919341</v>
      </c>
    </row>
    <row r="10" spans="1:6" x14ac:dyDescent="0.25">
      <c r="A10" t="s">
        <v>46</v>
      </c>
      <c r="B10" s="18">
        <f>B6*Assumptions!B9</f>
        <v>712196700.1880057</v>
      </c>
      <c r="C10" s="18">
        <f>C6*Assumptions!B9</f>
        <v>755267947.6245995</v>
      </c>
      <c r="D10" s="18">
        <f>D6*Assumptions!B9</f>
        <v>800943998.4185447</v>
      </c>
      <c r="E10" s="18">
        <f>E6*Assumptions!B9</f>
        <v>849382382.2661998</v>
      </c>
      <c r="F10" s="18">
        <f>F6*Assumptions!B9</f>
        <v>900750155.7271181</v>
      </c>
    </row>
    <row r="11" spans="1:6" x14ac:dyDescent="0.25">
      <c r="A11" t="s">
        <v>47</v>
      </c>
      <c r="B11" s="18">
        <f>-B6*Assumptions!B10</f>
        <v>-1010775044.263621</v>
      </c>
      <c r="C11" s="18">
        <f>-C6*Assumptions!B10</f>
        <v>-1071903300.0147641</v>
      </c>
      <c r="D11" s="18">
        <f>-D6*Assumptions!B10</f>
        <v>-1136728385.908661</v>
      </c>
      <c r="E11" s="18">
        <f>-E6*Assumptions!B10</f>
        <v>-1205473873.727893</v>
      </c>
      <c r="F11" s="18">
        <f>-F6*Assumptions!B10</f>
        <v>-1278376856.1202254</v>
      </c>
    </row>
    <row r="12" spans="1:6" x14ac:dyDescent="0.25">
      <c r="A12" t="s">
        <v>48</v>
      </c>
      <c r="B12" s="18">
        <f>-(B6-Assumptions!B29)*Assumptions!B11</f>
        <v>835000658.1047993</v>
      </c>
      <c r="C12" s="18">
        <f>-(C6-B6)*Assumptions!B11</f>
        <v>885498673.5343246</v>
      </c>
      <c r="D12" s="18">
        <f>-(D6-C6)*Assumptions!B11</f>
        <v>939050638.128521</v>
      </c>
      <c r="E12" s="18">
        <f>-(E6-D6)*Assumptions!B11</f>
        <v>995841244.4029522</v>
      </c>
      <c r="F12" s="18">
        <f>-(F6-E6)*Assumptions!B11</f>
        <v>1056066354.4517937</v>
      </c>
    </row>
    <row r="13" spans="1:6" x14ac:dyDescent="0.25">
      <c r="A13" s="19" t="s">
        <v>49</v>
      </c>
      <c r="B13" s="20">
        <f>B9+B10+B11+B12</f>
        <v>6329124009.644632</v>
      </c>
      <c r="C13" s="20">
        <f>C9+C10+C11+C12</f>
        <v>6711888021.615384</v>
      </c>
      <c r="D13" s="20">
        <f>D9+D10+D11+D12</f>
        <v>7117800306.33868</v>
      </c>
      <c r="E13" s="20">
        <f>E9+E10+E11+E12</f>
        <v>7548260793.052041</v>
      </c>
      <c r="F13" s="20">
        <f>F9+F10+F11+F12</f>
        <v>8004754073.978027</v>
      </c>
    </row>
    <row r="14" spans="1:6" x14ac:dyDescent="0.25">
      <c r="A14" t="s">
        <v>50</v>
      </c>
      <c r="B14" s="21">
        <f>1/(1+Assumptions!$B$26)^(1-0.5*Assumptions!$B$32)</f>
        <v>0.9673334171385587</v>
      </c>
      <c r="C14" s="21">
        <f>1/(1+Assumptions!$B$26)^(2-0.5*Assumptions!$B$32)</f>
        <v>0.905166709628531</v>
      </c>
      <c r="D14" s="21">
        <f>1/(1+Assumptions!$B$26)^(3-0.5*Assumptions!$B$32)</f>
        <v>0.8469952114787561</v>
      </c>
      <c r="E14" s="21">
        <f>1/(1+Assumptions!$B$26)^(4-0.5*Assumptions!$B$32)</f>
        <v>0.7925621663244279</v>
      </c>
      <c r="F14" s="21">
        <f>1/(1+Assumptions!$B$26)^(5-0.5*Assumptions!$B$32)</f>
        <v>0.7416273185207081</v>
      </c>
    </row>
    <row r="15" spans="1:6" x14ac:dyDescent="0.25">
      <c r="A15" s="19" t="s">
        <v>51</v>
      </c>
      <c r="B15" s="20">
        <f>B13*B14</f>
        <v>6122373155.743238</v>
      </c>
      <c r="C15" s="20">
        <f>C13*C14</f>
        <v>6075377595.920748</v>
      </c>
      <c r="D15" s="20">
        <f>D13*D14</f>
        <v>6028742775.7308855</v>
      </c>
      <c r="E15" s="20">
        <f>E13*E14</f>
        <v>5982465926.12307</v>
      </c>
      <c r="F15" s="20">
        <f>F13*F14</f>
        <v>5936544299.302038</v>
      </c>
    </row>
    <row r="17" spans="1:2" x14ac:dyDescent="0.25">
      <c r="A17" s="22" t="s">
        <v>52</v>
      </c>
      <c r="B17" s="23">
        <f>SUM(B15:F15)</f>
        <v>30145503752.819977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8004754073.978027</v>
      </c>
    </row>
    <row r="5" spans="1:2" x14ac:dyDescent="0.25">
      <c r="A5" t="s">
        <v>56</v>
      </c>
      <c r="B5" s="18">
        <f>IF(Assumptions!$B$33=0,B4,B4-Forecast!F11-Forecast!F10-Forecast!F12)</f>
        <v>7350137133.423743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0.3640078210200073</v>
      </c>
    </row>
    <row r="7" spans="1:2" x14ac:dyDescent="0.25">
      <c r="A7" t="s">
        <v>58</v>
      </c>
      <c r="B7" s="18">
        <f>-MAX(Forecast!F9,0)*B6</f>
        <v>-2675507402.1358194</v>
      </c>
    </row>
    <row r="8" spans="1:2" x14ac:dyDescent="0.25">
      <c r="A8" t="s">
        <v>59</v>
      </c>
      <c r="B8" s="18">
        <f>IF(OR(Assumptions!$B$33=0,Assumptions!B12&lt;=0),B5,MAX(B5+B7,0))</f>
        <v>4674629731.287924</v>
      </c>
    </row>
    <row r="9" spans="1:2" x14ac:dyDescent="0.25">
      <c r="A9" t="s">
        <v>60</v>
      </c>
      <c r="B9" s="18">
        <f>B8*(1+Assumptions!B12)/(Assumptions!B26-Assumptions!B12)</f>
        <v>109695803487.56859</v>
      </c>
    </row>
    <row r="10" spans="1:2" x14ac:dyDescent="0.25">
      <c r="A10" t="s">
        <v>61</v>
      </c>
      <c r="B10" s="18">
        <f>B9/(1+Assumptions!B26)^(5-0.5*Assumptions!B32)</f>
        <v>81353404593.46002</v>
      </c>
    </row>
    <row r="11" spans="1:2" x14ac:dyDescent="0.25">
      <c r="A11" t="s">
        <v>62</v>
      </c>
      <c r="B11" s="18">
        <f>Forecast!B17+B10</f>
        <v>111498908346.28</v>
      </c>
    </row>
    <row r="12" spans="1:2" x14ac:dyDescent="0.25">
      <c r="A12" t="s">
        <v>63</v>
      </c>
      <c r="B12" s="18">
        <f>-Assumptions!B30</f>
        <v>16602000000</v>
      </c>
    </row>
    <row r="13" spans="1:2" x14ac:dyDescent="0.25">
      <c r="A13" t="s">
        <v>64</v>
      </c>
      <c r="B13" s="18">
        <f>B11+B12</f>
        <v>128100908346.28</v>
      </c>
    </row>
    <row r="14" spans="1:2" x14ac:dyDescent="0.25">
      <c r="A14" s="19" t="s">
        <v>65</v>
      </c>
      <c r="B14" s="24">
        <f>B13/Assumptions!B31</f>
        <v>76.64214554980926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9705736560.750225</v>
      </c>
    </row>
    <row r="18" spans="1:2" x14ac:dyDescent="0.25">
      <c r="A18" t="s">
        <v>60</v>
      </c>
      <c r="B18" s="18">
        <f>B17*Assumptions!B13</f>
        <v>78832509926.40773</v>
      </c>
    </row>
    <row r="19" spans="1:2" x14ac:dyDescent="0.25">
      <c r="A19" t="s">
        <v>61</v>
      </c>
      <c r="B19" s="18">
        <f>B18/(1+Assumptions!B26)^(5-0.5*Assumptions!B32)</f>
        <v>58464342948.97887</v>
      </c>
    </row>
    <row r="20" spans="1:2" x14ac:dyDescent="0.25">
      <c r="A20" t="s">
        <v>62</v>
      </c>
      <c r="B20" s="18">
        <f>Forecast!B17+B19</f>
        <v>88609846701.79884</v>
      </c>
    </row>
    <row r="21" spans="1:2" x14ac:dyDescent="0.25">
      <c r="A21" t="s">
        <v>63</v>
      </c>
      <c r="B21" s="18">
        <f>-Assumptions!B30</f>
        <v>16602000000</v>
      </c>
    </row>
    <row r="22" spans="1:2" x14ac:dyDescent="0.25">
      <c r="A22" t="s">
        <v>64</v>
      </c>
      <c r="B22" s="18">
        <f>B20+B21</f>
        <v>105211846701.79884</v>
      </c>
    </row>
    <row r="23" spans="1:2" x14ac:dyDescent="0.25">
      <c r="A23" s="19" t="s">
        <v>65</v>
      </c>
      <c r="B23" s="25">
        <f>B22/Assumptions!B31</f>
        <v>62.94773216350618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41.78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76.64214554980926</v>
      </c>
    </row>
    <row r="29" spans="1:2" x14ac:dyDescent="0.25">
      <c r="A29" s="19" t="s">
        <v>73</v>
      </c>
      <c r="B29" s="12">
        <f>B28/B26-1</f>
        <v>0.8344218657206619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0.04868</v>
      </c>
      <c r="B5" s="31">
        <v>109.45785798013952</v>
      </c>
      <c r="C5" s="31">
        <v>113.59688594507297</v>
      </c>
      <c r="D5" s="31">
        <v>119.36054257091743</v>
      </c>
      <c r="E5" s="31">
        <v>128.05340119352232</v>
      </c>
      <c r="F5" s="31">
        <v>142.887306107581</v>
      </c>
    </row>
    <row r="6" spans="1:6" x14ac:dyDescent="0.25">
      <c r="A6" s="30">
        <v>0.05868</v>
      </c>
      <c r="B6" s="31">
        <v>87.95747669066633</v>
      </c>
      <c r="C6" s="31">
        <v>88.612148831328</v>
      </c>
      <c r="D6" s="31">
        <v>89.37815383876361</v>
      </c>
      <c r="E6" s="31">
        <v>90.31372019977964</v>
      </c>
      <c r="F6" s="31">
        <v>91.52625586639061</v>
      </c>
    </row>
    <row r="7" spans="1:6" x14ac:dyDescent="0.25">
      <c r="A7" s="30">
        <v>0.06868</v>
      </c>
      <c r="B7" s="31">
        <v>76.1671350420114</v>
      </c>
      <c r="C7" s="31">
        <v>76.40456528473374</v>
      </c>
      <c r="D7" s="32">
        <v>76.64199552745606</v>
      </c>
      <c r="E7" s="31">
        <v>76.8794257701784</v>
      </c>
      <c r="F7" s="31">
        <v>77.11685601290074</v>
      </c>
    </row>
    <row r="8" spans="1:6" x14ac:dyDescent="0.25">
      <c r="A8" s="30">
        <v>0.07868</v>
      </c>
      <c r="B8" s="31">
        <v>67.90330807896378</v>
      </c>
      <c r="C8" s="31">
        <v>68.10205468482124</v>
      </c>
      <c r="D8" s="31">
        <v>68.3008012906787</v>
      </c>
      <c r="E8" s="31">
        <v>68.49954789653617</v>
      </c>
      <c r="F8" s="31">
        <v>68.69829450239361</v>
      </c>
    </row>
    <row r="9" spans="1:6" x14ac:dyDescent="0.25">
      <c r="A9" s="30">
        <v>0.08868</v>
      </c>
      <c r="B9" s="31">
        <v>61.50266594298888</v>
      </c>
      <c r="C9" s="31">
        <v>61.671828447245105</v>
      </c>
      <c r="D9" s="31">
        <v>61.84099095150134</v>
      </c>
      <c r="E9" s="31">
        <v>62.01015345575757</v>
      </c>
      <c r="F9" s="31">
        <v>62.17931596001379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13807000000</v>
      </c>
      <c r="C5" s="18">
        <v>14303000000</v>
      </c>
      <c r="D5" s="18">
        <v>13935000000</v>
      </c>
      <c r="E5" s="18">
        <v>11577000000</v>
      </c>
      <c r="F5" s="8" t="s">
        <v>84</v>
      </c>
    </row>
    <row r="6" spans="1:6" x14ac:dyDescent="0.25">
      <c r="A6" t="s">
        <v>44</v>
      </c>
      <c r="B6" s="18">
        <v>5657000000</v>
      </c>
      <c r="C6" s="18">
        <v>7151000000</v>
      </c>
      <c r="D6" s="18">
        <v>6863000000</v>
      </c>
      <c r="E6" s="18">
        <v>5785000000</v>
      </c>
      <c r="F6" s="8" t="s">
        <v>85</v>
      </c>
    </row>
    <row r="7" spans="1:6" x14ac:dyDescent="0.25">
      <c r="A7" t="s">
        <v>86</v>
      </c>
      <c r="B7" s="18">
        <v>779000000</v>
      </c>
      <c r="C7" s="18">
        <v>675000000</v>
      </c>
      <c r="D7" s="18">
        <v>621000000</v>
      </c>
      <c r="E7" s="18">
        <v>537000000</v>
      </c>
      <c r="F7" s="8" t="s">
        <v>87</v>
      </c>
    </row>
    <row r="8" spans="1:6" x14ac:dyDescent="0.25">
      <c r="A8" t="s">
        <v>88</v>
      </c>
      <c r="B8" s="18">
        <v>1272000000</v>
      </c>
      <c r="C8" s="18">
        <v>867000000</v>
      </c>
      <c r="D8" s="18">
        <v>872000000</v>
      </c>
      <c r="E8" s="18">
        <v>704000000</v>
      </c>
      <c r="F8" s="8" t="s">
        <v>89</v>
      </c>
    </row>
    <row r="9" spans="1:6" x14ac:dyDescent="0.25">
      <c r="A9" t="s">
        <v>90</v>
      </c>
      <c r="B9" s="18">
        <v>5541000000</v>
      </c>
      <c r="C9" s="18">
        <v>21475000000</v>
      </c>
      <c r="D9" s="18">
        <v>-4341000000</v>
      </c>
      <c r="E9" s="18">
        <v>-4500000000</v>
      </c>
      <c r="F9" s="8" t="s">
        <v>91</v>
      </c>
    </row>
    <row r="10" spans="1:6" x14ac:dyDescent="0.25">
      <c r="A10" t="s">
        <v>92</v>
      </c>
      <c r="B10" s="18">
        <v>45263000000</v>
      </c>
      <c r="C10" s="18">
        <v>42309000000</v>
      </c>
      <c r="D10" s="18">
        <v>37444000000</v>
      </c>
      <c r="E10" s="18">
        <v>41635000000</v>
      </c>
      <c r="F10" s="8" t="s">
        <v>93</v>
      </c>
    </row>
    <row r="11" spans="1:6" x14ac:dyDescent="0.25">
      <c r="A11" t="s">
        <v>94</v>
      </c>
      <c r="B11" s="18">
        <v>61865000000</v>
      </c>
      <c r="C11" s="18">
        <v>69235000000</v>
      </c>
      <c r="D11" s="18">
        <v>80823000000</v>
      </c>
      <c r="E11" s="18">
        <v>78672000000</v>
      </c>
      <c r="F11" s="8" t="s">
        <v>95</v>
      </c>
    </row>
    <row r="12" spans="1:6" x14ac:dyDescent="0.25">
      <c r="A12" t="s">
        <v>32</v>
      </c>
      <c r="B12" s="34">
        <v>1671416000</v>
      </c>
      <c r="C12" s="34">
        <v>1681194000</v>
      </c>
      <c r="D12" s="34">
        <v>1680940000</v>
      </c>
      <c r="E12" s="34">
        <v>1680581000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2026-09-19T00:08:39Z</dcterms:modified>
</cp:coreProperties>
</file>