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<sst xmlns="http://schemas.openxmlformats.org/spreadsheetml/2006/main" count="114" uniqueCount="102">
  <si>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Sembcorp Industries Ltd (U96.SI)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</si>
  <si>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</si>
  <si>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</si>
  <si>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</si>
  <si>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</si>
  <si>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</si>
  <si>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</si>
  <si>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</si>
  <si>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</si>
  <si>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</si>
  <si>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</si>
  <si>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</si>
  <si>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</si>
  <si>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</si>
  <si>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</si>
  <si>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</si>
  <si>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</si>
  <si>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</si>
  <si>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</si>
  <si>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</si>
  <si>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</si>
  <si>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</si>
  <si>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</si>
  <si>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</si>
  <si>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</si>
  <si>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</si>
  <si>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</si>
  <si>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</si>
  <si>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</si>
  <si>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</si>
  <si>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</si>
  <si>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</si>
  <si>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</si>
  <si>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</si>
  <si>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</si>
  <si>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</si>
  <si>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</si>
  <si>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</si>
  <si>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</si>
  <si>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</si>
  <si>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</si>
  <si>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</si>
  <si>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</si>
  <si>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</si>
  <si>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</si>
  <si>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</si>
  <si>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</si>
  <si>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</si>
  <si>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</si>
  <si>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</si>
  <si>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</si>
  <si>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</si>
  <si>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</si>
  <si>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</si>
  <si>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</si>
  <si>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</si>
  <si>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</si>
  <si>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</si>
  <si>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</si>
  <si>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</si>
  <si>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</si>
  <si>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</si>
  <si>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</si>
  <si>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</si>
  <si>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</si>
  <si>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</si>
  <si>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</si>
  <si>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</si>
  <si>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</si>
  <si>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</si>
  <si>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</si>
  <si>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</si>
  <si>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</si>
  <si>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</si>
  <si>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</si>
  <si>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</si>
  <si>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</si>
  <si>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</si>
  <si>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</si>
  <si>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</si>
  <si>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</si>
  <si>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</si>
  <si>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</si>
  <si>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</si>
  <si>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</si>
  <si>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</si>
  <si>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</si>
  <si>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</si>
  <si>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</si>
  <si>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</si>
  <si>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</si>
  <si>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</si>
  <si>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</si>
  <si>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</si>
  <si>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</si>
  <si>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</si>
  <si>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</si>
  <si>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</si>
  <si>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</si>
  <si>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15.3% of revenue against depreciation of 6.9%.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</si>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</sst>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-0.09505346632896705</v>
      </c>
    </row>
    <row r="7" spans="1:2" x14ac:dyDescent="0.25">
      <c r="A7" t="s">
        <v>5</v>
      </c>
      <c r="B7" s="6">
        <v>0.14173667527615041</v>
      </c>
    </row>
    <row r="8" spans="1:2" x14ac:dyDescent="0.25">
      <c r="A8" t="s">
        <v>6</v>
      </c>
      <c r="B8" s="6">
        <v>0.153752525964566</v>
      </c>
    </row>
    <row r="9" spans="1:2" x14ac:dyDescent="0.25">
      <c r="A9" t="s">
        <v>7</v>
      </c>
      <c r="B9" s="6">
        <v>0.06874251492419221</v>
      </c>
    </row>
    <row r="10" spans="1:2" x14ac:dyDescent="0.25">
      <c r="A10" t="s">
        <v>8</v>
      </c>
      <c r="B10" s="6">
        <v>0.15344639475479674</v>
      </c>
    </row>
    <row r="11" spans="1:2" x14ac:dyDescent="0.25">
      <c r="A11" t="s">
        <v>9</v>
      </c>
      <c r="B11" s="6">
        <v>-0.020434227330779056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14.192267327856609</v>
      </c>
    </row>
    <row r="14" spans="1:3" x14ac:dyDescent="0.25">
      <c r="A14" t="s">
        <v>12</v>
      </c>
      <c r="B14" s="6">
        <v>0.05917642582024545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0.37555999999999995</v>
      </c>
      <c r="C19" s="8" t="s">
        <v>19</v>
      </c>
    </row>
    <row r="20" spans="1:2" x14ac:dyDescent="0.25">
      <c r="A20" t="s">
        <v>20</v>
      </c>
      <c r="B20" s="10">
        <f>B17+B19*B18</f>
        <v>0.0664114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10504445952</v>
      </c>
    </row>
    <row r="23" spans="1:2" x14ac:dyDescent="0.25">
      <c r="A23" t="s">
        <v>24</v>
      </c>
      <c r="B23" s="11">
        <v>9703000000</v>
      </c>
    </row>
    <row r="24" spans="1:2" x14ac:dyDescent="0.25">
      <c r="A24" t="s">
        <v>25</v>
      </c>
      <c r="B24" s="10">
        <f>B22/(B22+B23)</f>
        <v>0.5198304613532982</v>
      </c>
    </row>
    <row r="25" spans="1:2" x14ac:dyDescent="0.25">
      <c r="A25" t="s">
        <v>26</v>
      </c>
      <c r="B25" s="10">
        <f>1-B24</f>
        <v>0.48016953864670175</v>
      </c>
    </row>
    <row r="26" spans="1:2" x14ac:dyDescent="0.25">
      <c r="A26" t="s">
        <v>27</v>
      </c>
      <c r="B26" s="12">
        <f>B24*B20+B25*B21*(1-B8)</f>
        <v>0.05158904358703673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5799000000</v>
      </c>
      <c r="C29" s="8" t="s">
        <v>30</v>
      </c>
    </row>
    <row r="30" spans="1:2" x14ac:dyDescent="0.25">
      <c r="A30" t="s">
        <v>31</v>
      </c>
      <c r="B30" s="11">
        <v>8499000000</v>
      </c>
    </row>
    <row r="31" spans="1:2" x14ac:dyDescent="0.25">
      <c r="A31" t="s">
        <v>32</v>
      </c>
      <c r="B31" s="13">
        <v>1799000000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-0.09505346632896705</v>
      </c>
      <c r="C5" s="10">
        <f>Assumptions!B6</f>
        <v>-0.09505346632896705</v>
      </c>
      <c r="D5" s="10">
        <f>Assumptions!B6</f>
        <v>-0.09505346632896705</v>
      </c>
      <c r="E5" s="10">
        <f>Assumptions!B6</f>
        <v>-0.09505346632896705</v>
      </c>
      <c r="F5" s="10">
        <f>Assumptions!B6</f>
        <v>-0.09505346632896705</v>
      </c>
    </row>
    <row r="6" spans="1:6" x14ac:dyDescent="0.25">
      <c r="A6" t="s">
        <v>43</v>
      </c>
      <c r="B6" s="18">
        <f>Assumptions!B29*(1+B5)</f>
        <v>5247784948.75832</v>
      </c>
      <c r="C6" s="18">
        <f>B6*(1+C5)</f>
        <v>4748964798.829861</v>
      </c>
      <c r="D6" s="18">
        <f>C6*(1+D5)</f>
        <v>4297559233.226837</v>
      </c>
      <c r="E6" s="18">
        <f>D6*(1+E5)</f>
        <v>3889061331.3545685</v>
      </c>
      <c r="F6" s="18">
        <f>E6*(1+F5)</f>
        <v>3519392571.0433693</v>
      </c>
    </row>
    <row r="7" spans="1:6" x14ac:dyDescent="0.25">
      <c r="A7" t="s">
        <v>5</v>
      </c>
      <c r="B7" s="10">
        <f>Assumptions!B7</f>
        <v>0.14173667527615041</v>
      </c>
      <c r="C7" s="10">
        <f>Assumptions!B7</f>
        <v>0.14173667527615041</v>
      </c>
      <c r="D7" s="10">
        <f>Assumptions!B7</f>
        <v>0.14173667527615041</v>
      </c>
      <c r="E7" s="10">
        <f>Assumptions!B7</f>
        <v>0.14173667527615041</v>
      </c>
      <c r="F7" s="10">
        <f>Assumptions!B7</f>
        <v>0.14173667527615041</v>
      </c>
    </row>
    <row r="8" spans="1:6" x14ac:dyDescent="0.25">
      <c r="A8" t="s">
        <v>44</v>
      </c>
      <c r="B8" s="18">
        <f>B6*B7</f>
        <v>743803591.2012277</v>
      </c>
      <c r="C8" s="18">
        <f>C6*C7</f>
        <v>673102481.5896169</v>
      </c>
      <c r="D8" s="18">
        <f>D6*D7</f>
        <v>609121757.5198942</v>
      </c>
      <c r="E8" s="18">
        <f>E6*E7</f>
        <v>551222623.0512357</v>
      </c>
      <c r="F8" s="18">
        <f>F6*F7</f>
        <v>498827002.01127017</v>
      </c>
    </row>
    <row r="9" spans="1:6" x14ac:dyDescent="0.25">
      <c r="A9" t="s">
        <v>45</v>
      </c>
      <c r="B9" s="18">
        <f>B8*(1-Assumptions!B8)</f>
        <v>629441910.2325234</v>
      </c>
      <c r="C9" s="18">
        <f>C8*(1-Assumptions!B8)</f>
        <v>569611274.8121955</v>
      </c>
      <c r="D9" s="18">
        <f>D8*(1-Assumptions!B8)</f>
        <v>515467748.6812346</v>
      </c>
      <c r="E9" s="18">
        <f>E8*(1-Assumptions!B8)</f>
        <v>466470752.3882944</v>
      </c>
      <c r="F9" s="18">
        <f>F8*(1-Assumptions!B8)</f>
        <v>422131090.4327057</v>
      </c>
    </row>
    <row r="10" spans="1:6" x14ac:dyDescent="0.25">
      <c r="A10" t="s">
        <v>46</v>
      </c>
      <c r="B10" s="18">
        <f>B6*Assumptions!B9</f>
        <v>360745935.15897006</v>
      </c>
      <c r="C10" s="18">
        <f>C6*Assumptions!B9</f>
        <v>326455783.5580252</v>
      </c>
      <c r="D10" s="18">
        <f>D6*Assumptions!B9</f>
        <v>295425029.7276959</v>
      </c>
      <c r="E10" s="18">
        <f>E6*Assumptions!B9</f>
        <v>267343856.61174026</v>
      </c>
      <c r="F10" s="18">
        <f>F6*Assumptions!B9</f>
        <v>241931896.33904</v>
      </c>
    </row>
    <row r="11" spans="1:6" x14ac:dyDescent="0.25">
      <c r="A11" t="s">
        <v>47</v>
      </c>
      <c r="B11" s="18">
        <f>-B6*Assumptions!B10</f>
        <v>-805253680.8354499</v>
      </c>
      <c r="C11" s="18">
        <f>-C6*Assumptions!B10</f>
        <v>-728711527.1978806</v>
      </c>
      <c r="D11" s="18">
        <f>-D6*Assumptions!B10</f>
        <v>-659444970.5838468</v>
      </c>
      <c r="E11" s="18">
        <f>-E6*Assumptions!B10</f>
        <v>-596762440.2766485</v>
      </c>
      <c r="F11" s="18">
        <f>-F6*Assumptions!B10</f>
        <v>-540038101.7534199</v>
      </c>
    </row>
    <row r="12" spans="1:6" x14ac:dyDescent="0.25">
      <c r="A12" t="s">
        <v>48</v>
      </c>
      <c r="B12" s="18">
        <f>-(B6-Assumptions!B29)*Assumptions!B11</f>
        <v>-11263653.665219517</v>
      </c>
      <c r="C12" s="18">
        <f>-(C6-B6)*Assumptions!B11</f>
        <v>-10193004.340811428</v>
      </c>
      <c r="D12" s="18">
        <f>-(D6-C6)*Assumptions!B11</f>
        <v>-9224123.945911082</v>
      </c>
      <c r="E12" s="18">
        <f>-(E6-D6)*Assumptions!B11</f>
        <v>-8347338.991004214</v>
      </c>
      <c r="F12" s="18">
        <f>-(F6-E6)*Assumptions!B11</f>
        <v>-7553895.485286319</v>
      </c>
    </row>
    <row r="13" spans="1:6" x14ac:dyDescent="0.25">
      <c r="A13" s="19" t="s">
        <v>49</v>
      </c>
      <c r="B13" s="20">
        <f>B9+B10+B11+B12</f>
        <v>173670510.8908241</v>
      </c>
      <c r="C13" s="20">
        <f>C9+C10+C11+C12</f>
        <v>157162526.8315286</v>
      </c>
      <c r="D13" s="20">
        <f>D9+D10+D11+D12</f>
        <v>142223683.87917265</v>
      </c>
      <c r="E13" s="20">
        <f>E9+E10+E11+E12</f>
        <v>128704829.73238195</v>
      </c>
      <c r="F13" s="20">
        <f>F9+F10+F11+F12</f>
        <v>116470989.53303948</v>
      </c>
    </row>
    <row r="14" spans="1:6" x14ac:dyDescent="0.25">
      <c r="A14" t="s">
        <v>50</v>
      </c>
      <c r="B14" s="21">
        <f>1/(1+Assumptions!$B$26)^(1-0.5*Assumptions!$B$32)</f>
        <v>0.9751624587473929</v>
      </c>
      <c r="C14" s="21">
        <f>1/(1+Assumptions!$B$26)^(2-0.5*Assumptions!$B$32)</f>
        <v>0.9273227642435795</v>
      </c>
      <c r="D14" s="21">
        <f>1/(1+Assumptions!$B$26)^(3-0.5*Assumptions!$B$32)</f>
        <v>0.8818299980384191</v>
      </c>
      <c r="E14" s="21">
        <f>1/(1+Assumptions!$B$26)^(4-0.5*Assumptions!$B$32)</f>
        <v>0.8385690241032192</v>
      </c>
      <c r="F14" s="21">
        <f>1/(1+Assumptions!$B$26)^(5-0.5*Assumptions!$B$32)</f>
        <v>0.7974303547731985</v>
      </c>
    </row>
    <row r="15" spans="1:6" x14ac:dyDescent="0.25">
      <c r="A15" s="19" t="s">
        <v>51</v>
      </c>
      <c r="B15" s="20">
        <f>B13*B14</f>
        <v>169356962.41221192</v>
      </c>
      <c r="C15" s="20">
        <f>C13*C14</f>
        <v>145740388.81691885</v>
      </c>
      <c r="D15" s="20">
        <f>D13*D14</f>
        <v>125417110.87618756</v>
      </c>
      <c r="E15" s="20">
        <f>E13*E14</f>
        <v>107927883.46605453</v>
      </c>
      <c r="F15" s="20">
        <f>F13*F14</f>
        <v>92877502.50411716</v>
      </c>
    </row>
    <row r="17" spans="1:2" x14ac:dyDescent="0.25">
      <c r="A17" s="22" t="s">
        <v>52</v>
      </c>
      <c r="B17" s="23">
        <f>SUM(B15:F15)</f>
        <v>641319848.07549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116470989.53303948</v>
      </c>
    </row>
    <row r="5" spans="1:2" x14ac:dyDescent="0.25">
      <c r="A5" t="s">
        <v>56</v>
      </c>
      <c r="B5" s="18">
        <f>IF(Assumptions!$B$33=0,B4,B4-Forecast!F11-Forecast!F10-Forecast!F12)</f>
        <v>422131090.4327057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0.4224655283497537</v>
      </c>
    </row>
    <row r="7" spans="1:2" x14ac:dyDescent="0.25">
      <c r="A7" t="s">
        <v>58</v>
      </c>
      <c r="B7" s="18">
        <f>-MAX(Forecast!F9,0)*B6</f>
        <v>-178335834.15251067</v>
      </c>
    </row>
    <row r="8" spans="1:2" x14ac:dyDescent="0.25">
      <c r="A8" t="s">
        <v>59</v>
      </c>
      <c r="B8" s="18">
        <f>IF(OR(Assumptions!$B$33=0,Assumptions!B12&lt;=0),B5,MAX(B5+B7,0))</f>
        <v>243795256.28019503</v>
      </c>
    </row>
    <row r="9" spans="1:2" x14ac:dyDescent="0.25">
      <c r="A9" t="s">
        <v>60</v>
      </c>
      <c r="B9" s="18">
        <f>B8*(1+Assumptions!B12)/(Assumptions!B26-Assumptions!B12)</f>
        <v>9398237167.471182</v>
      </c>
    </row>
    <row r="10" spans="1:2" x14ac:dyDescent="0.25">
      <c r="A10" t="s">
        <v>61</v>
      </c>
      <c r="B10" s="18">
        <f>B9/(1+Assumptions!B26)^(5-0.5*Assumptions!B32)</f>
        <v>7494439598.699204</v>
      </c>
    </row>
    <row r="11" spans="1:2" x14ac:dyDescent="0.25">
      <c r="A11" t="s">
        <v>62</v>
      </c>
      <c r="B11" s="18">
        <f>Forecast!B17+B10</f>
        <v>8135759446.774694</v>
      </c>
    </row>
    <row r="12" spans="1:2" x14ac:dyDescent="0.25">
      <c r="A12" t="s">
        <v>63</v>
      </c>
      <c r="B12" s="18">
        <f>-Assumptions!B30</f>
        <v>-8499000000</v>
      </c>
    </row>
    <row r="13" spans="1:2" x14ac:dyDescent="0.25">
      <c r="A13" t="s">
        <v>64</v>
      </c>
      <c r="B13" s="18">
        <f>B11+B12</f>
        <v>-363240553.22530556</v>
      </c>
    </row>
    <row r="14" spans="1:2" x14ac:dyDescent="0.25">
      <c r="A14" s="19" t="s">
        <v>65</v>
      </c>
      <c r="B14" s="24">
        <f>B13/Assumptions!B31</f>
        <v>-0.2019124809479186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740758898.3503102</v>
      </c>
    </row>
    <row r="18" spans="1:2" x14ac:dyDescent="0.25">
      <c r="A18" t="s">
        <v>60</v>
      </c>
      <c r="B18" s="18">
        <f>B17*Assumptions!B13</f>
        <v>10513048310.876162</v>
      </c>
    </row>
    <row r="19" spans="1:2" x14ac:dyDescent="0.25">
      <c r="A19" t="s">
        <v>61</v>
      </c>
      <c r="B19" s="18">
        <f>B18/(1+Assumptions!B26)^(5-0.5*Assumptions!B32)</f>
        <v>8383423844.289752</v>
      </c>
    </row>
    <row r="20" spans="1:2" x14ac:dyDescent="0.25">
      <c r="A20" t="s">
        <v>62</v>
      </c>
      <c r="B20" s="18">
        <f>Forecast!B17+B19</f>
        <v>9024743692.365242</v>
      </c>
    </row>
    <row r="21" spans="1:2" x14ac:dyDescent="0.25">
      <c r="A21" t="s">
        <v>63</v>
      </c>
      <c r="B21" s="18">
        <f>-Assumptions!B30</f>
        <v>-8499000000</v>
      </c>
    </row>
    <row r="22" spans="1:2" x14ac:dyDescent="0.25">
      <c r="A22" t="s">
        <v>64</v>
      </c>
      <c r="B22" s="18">
        <f>B20+B21</f>
        <v>525743692.365242</v>
      </c>
    </row>
    <row r="23" spans="1:2" x14ac:dyDescent="0.25">
      <c r="A23" s="19" t="s">
        <v>65</v>
      </c>
      <c r="B23" s="25">
        <f>B22/Assumptions!B31</f>
        <v>0.2922421858617243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-0.2019124809479186</v>
      </c>
    </row>
    <row r="29" spans="1:2" x14ac:dyDescent="0.25">
      <c r="A29" s="19" t="s">
        <v>73</v>
      </c>
      <c r="B29" s="12">
        <f>B28/B26-1</f>
        <v>-1.0342224543979524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0.031589</v>
      </c>
      <c r="B5" s="31">
        <v>4.9657506532524724</v>
      </c>
      <c r="C5" s="31">
        <v>7.534566362268644</v>
      </c>
      <c r="D5" s="31">
        <v>13.975864820383887</v>
      </c>
      <c r="E5" s="31">
        <v>60.84549325005631</v>
      </c>
      <c r="F5" s="31" t="s">
        <v>76</v>
      </c>
    </row>
    <row r="6" spans="1:6" x14ac:dyDescent="0.25">
      <c r="A6" s="30">
        <v>0.041589</v>
      </c>
      <c r="B6" s="31">
        <v>1.2063880864030363</v>
      </c>
      <c r="C6" s="31">
        <v>1.7495981352679681</v>
      </c>
      <c r="D6" s="31">
        <v>2.6103110460883348</v>
      </c>
      <c r="E6" s="31">
        <v>4.199480562011211</v>
      </c>
      <c r="F6" s="31">
        <v>8.175453788293499</v>
      </c>
    </row>
    <row r="7" spans="1:6" x14ac:dyDescent="0.25">
      <c r="A7" s="30">
        <v>0.051589</v>
      </c>
      <c r="B7" s="31">
        <v>-0.49285202760137886</v>
      </c>
      <c r="C7" s="31">
        <v>-0.3679019795347471</v>
      </c>
      <c r="D7" s="32">
        <v>-0.20190484228484773</v>
      </c>
      <c r="E7" s="31">
        <v>0.033658830984623446</v>
      </c>
      <c r="F7" s="31">
        <v>0.4016920507199646</v>
      </c>
    </row>
    <row r="8" spans="1:6" x14ac:dyDescent="0.25">
      <c r="A8" s="30">
        <v>0.061589</v>
      </c>
      <c r="B8" s="31">
        <v>-1.4200077140523562</v>
      </c>
      <c r="C8" s="31">
        <v>-1.4054504693010859</v>
      </c>
      <c r="D8" s="31">
        <v>-1.3908932245498162</v>
      </c>
      <c r="E8" s="31">
        <v>-1.376335979798546</v>
      </c>
      <c r="F8" s="31">
        <v>-1.3617787350472768</v>
      </c>
    </row>
    <row r="9" spans="1:6" x14ac:dyDescent="0.25">
      <c r="A9" s="30">
        <v>0.071589</v>
      </c>
      <c r="B9" s="31">
        <v>-1.9448778882136348</v>
      </c>
      <c r="C9" s="31">
        <v>-1.932871489161917</v>
      </c>
      <c r="D9" s="31">
        <v>-1.9208650901101993</v>
      </c>
      <c r="E9" s="31">
        <v>-1.9088586910584802</v>
      </c>
      <c r="F9" s="31">
        <v>-1.8968522920067625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5799000000</v>
      </c>
      <c r="C5" s="18">
        <v>6417000000</v>
      </c>
      <c r="D5" s="18">
        <v>7042000000</v>
      </c>
      <c r="E5" s="18">
        <v>7825000000</v>
      </c>
      <c r="F5" s="8" t="s">
        <v>85</v>
      </c>
    </row>
    <row r="6" spans="1:6" x14ac:dyDescent="0.25">
      <c r="A6" t="s">
        <v>44</v>
      </c>
      <c r="B6" s="18">
        <v>863000000</v>
      </c>
      <c r="C6" s="18">
        <v>1036000000</v>
      </c>
      <c r="D6" s="18">
        <v>1147000000</v>
      </c>
      <c r="E6" s="18">
        <v>734000000</v>
      </c>
      <c r="F6" s="8" t="s">
        <v>86</v>
      </c>
    </row>
    <row r="7" spans="1:6" x14ac:dyDescent="0.25">
      <c r="A7" t="s">
        <v>87</v>
      </c>
      <c r="B7" s="18">
        <v>476000000</v>
      </c>
      <c r="C7" s="18">
        <v>446000000</v>
      </c>
      <c r="D7" s="18">
        <v>454000000</v>
      </c>
      <c r="E7" s="18">
        <v>461000000</v>
      </c>
      <c r="F7" s="8" t="s">
        <v>88</v>
      </c>
    </row>
    <row r="8" spans="1:6" x14ac:dyDescent="0.25">
      <c r="A8" t="s">
        <v>89</v>
      </c>
      <c r="B8" s="18">
        <v>962000000</v>
      </c>
      <c r="C8" s="18">
        <v>1608000000</v>
      </c>
      <c r="D8" s="18">
        <v>836000000</v>
      </c>
      <c r="E8" s="18">
        <v>615000000</v>
      </c>
      <c r="F8" s="8" t="s">
        <v>90</v>
      </c>
    </row>
    <row r="9" spans="1:6" x14ac:dyDescent="0.25">
      <c r="A9" t="s">
        <v>91</v>
      </c>
      <c r="B9" s="18">
        <v>151000000</v>
      </c>
      <c r="C9" s="18">
        <v>-39000000</v>
      </c>
      <c r="D9" s="18">
        <v>16000000</v>
      </c>
      <c r="E9" s="18">
        <v>-24000000</v>
      </c>
      <c r="F9" s="8" t="s">
        <v>92</v>
      </c>
    </row>
    <row r="10" spans="1:6" x14ac:dyDescent="0.25">
      <c r="A10" t="s">
        <v>93</v>
      </c>
      <c r="B10" s="18">
        <v>9703000000</v>
      </c>
      <c r="C10" s="18">
        <v>9400000000</v>
      </c>
      <c r="D10" s="18">
        <v>7564000000</v>
      </c>
      <c r="E10" s="18">
        <v>7357000000</v>
      </c>
      <c r="F10" s="8" t="s">
        <v>94</v>
      </c>
    </row>
    <row r="11" spans="1:6" x14ac:dyDescent="0.25">
      <c r="A11" t="s">
        <v>95</v>
      </c>
      <c r="B11" s="18">
        <v>1204000000</v>
      </c>
      <c r="C11" s="18">
        <v>985000000</v>
      </c>
      <c r="D11" s="18">
        <v>881000000</v>
      </c>
      <c r="E11" s="18">
        <v>1291000000</v>
      </c>
      <c r="F11" s="8" t="s">
        <v>96</v>
      </c>
    </row>
    <row r="12" spans="1:6" x14ac:dyDescent="0.25">
      <c r="A12" t="s">
        <v>32</v>
      </c>
      <c r="B12" s="34">
        <v>1799000000</v>
      </c>
      <c r="C12" s="34">
        <v>1811000000</v>
      </c>
      <c r="D12" s="34">
        <v>1812000000</v>
      </c>
      <c r="E12" s="34">
        <v>1821000000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2026-09-19T00:08:19Z</dcterms:modified>
</cp:coreProperties>
</file>