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<sst xmlns="http://schemas.openxmlformats.org/spreadsheetml/2006/main" count="120" uniqueCount="107">
  <si>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United Airlines Holdings, Inc. (UAL)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</si>
  <si>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</si>
  <si>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</si>
  <si>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</si>
  <si>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</si>
  <si>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</si>
  <si>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</si>
  <si>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</si>
  <si>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</si>
  <si>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</si>
  <si>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</si>
  <si>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</si>
  <si>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</si>
  <si>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</si>
  <si>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</si>
  <si>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</si>
  <si>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</si>
  <si>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</si>
  <si>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</si>
  <si>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</si>
  <si>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</si>
  <si>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</si>
  <si>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</si>
  <si>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</si>
  <si>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4.3x interest cover. Book interest / average debt was lower, at 3.6%.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</si>
  <si>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</si>
  <si>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</si>
  <si>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</si>
  <si>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</si>
  <si>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</si>
  <si>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</si>
  <si>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</si>
  <si>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</si>
  <si>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</si>
  <si>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</si>
  <si>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</si>
  <si>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</si>
  <si>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</si>
  <si>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</si>
  <si>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</si>
  <si>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</si>
  <si>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</si>
  <si>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</si>
  <si>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</si>
  <si>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</si>
  <si>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</si>
  <si>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</si>
  <si>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</si>
  <si>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</si>
  <si>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</si>
  <si>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</si>
  <si>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</si>
  <si>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</si>
  <si>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</si>
  <si>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</si>
  <si>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</si>
  <si>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</si>
  <si>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</si>
  <si>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</si>
  <si>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</si>
  <si>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</si>
  <si>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</si>
  <si>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</si>
  <si>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</si>
  <si>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</si>
  <si>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</si>
  <si>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</si>
  <si>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</si>
  <si>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</si>
  <si>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</si>
  <si>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</si>
  <si>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</si>
  <si>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</si>
  <si>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</si>
  <si>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</si>
  <si>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</si>
  <si>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</si>
  <si>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</si>
  <si>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</si>
  <si>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</si>
  <si>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</si>
  <si>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</si>
  <si>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</si>
  <si>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</si>
  <si>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</si>
  <si>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</si>
  <si>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</si>
  <si>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</si>
  <si>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</si>
  <si>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</si>
  <si>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</si>
  <si>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</si>
  <si>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</si>
  <si>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</si>
  <si>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</si>
  <si>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</si>
  <si>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</si>
  <si>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</si>
  <si>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</si>
  <si>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</si>
  <si>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</si>
  <si>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</si>
  <si>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</si>
  <si>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</si>
  <si>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</si>
  <si>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11.0% of revenue against depreciation of 5.1%.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</si>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</sst>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0.16244617098357872</v>
      </c>
    </row>
    <row r="7" spans="1:2" x14ac:dyDescent="0.25">
      <c r="A7" t="s">
        <v>4</v>
      </c>
      <c r="B7" s="5">
        <v>0.08164934707197935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0.051355549507265064</v>
      </c>
    </row>
    <row r="10" spans="1:3" x14ac:dyDescent="0.25">
      <c r="A10" t="s">
        <v>7</v>
      </c>
      <c r="B10" s="5">
        <v>0.1096333383864732</v>
      </c>
      <c r="C10" s="6" t="s">
        <v>8</v>
      </c>
    </row>
    <row r="11" spans="1:2" x14ac:dyDescent="0.25">
      <c r="A11" t="s">
        <v>9</v>
      </c>
      <c r="B11" s="5">
        <v>-0.009261119153478641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6.656931806345595</v>
      </c>
    </row>
    <row r="14" spans="1:3" x14ac:dyDescent="0.25">
      <c r="A14" t="s">
        <v>12</v>
      </c>
      <c r="B14" s="5">
        <v>0.0985009097531735</v>
      </c>
      <c r="C14" s="6" t="s">
        <v>13</v>
      </c>
    </row>
    <row r="15" spans="1:3" x14ac:dyDescent="0.25">
      <c r="A15" t="s">
        <v>14</v>
      </c>
      <c r="B15" s="5">
        <v>0.051355549507265064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1.20368</v>
      </c>
      <c r="C19" s="6" t="s">
        <v>21</v>
      </c>
    </row>
    <row r="20" spans="1:2" x14ac:dyDescent="0.25">
      <c r="A20" t="s">
        <v>22</v>
      </c>
      <c r="B20" s="9">
        <f>B17+B19*B18</f>
        <v>0.09985566400000001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33866987520</v>
      </c>
    </row>
    <row r="23" spans="1:2" x14ac:dyDescent="0.25">
      <c r="A23" t="s">
        <v>26</v>
      </c>
      <c r="B23" s="10">
        <v>31036000000</v>
      </c>
    </row>
    <row r="24" spans="1:2" x14ac:dyDescent="0.25">
      <c r="A24" t="s">
        <v>27</v>
      </c>
      <c r="B24" s="9">
        <f>B22/(B22+B23)</f>
        <v>0.5218093775662301</v>
      </c>
    </row>
    <row r="25" spans="1:2" x14ac:dyDescent="0.25">
      <c r="A25" t="s">
        <v>28</v>
      </c>
      <c r="B25" s="9">
        <f>1-B24</f>
        <v>0.47819062243376986</v>
      </c>
    </row>
    <row r="26" spans="1:2" x14ac:dyDescent="0.25">
      <c r="A26" t="s">
        <v>29</v>
      </c>
      <c r="B26" s="11">
        <f>B24*B20+B25*B21*(1-B8)</f>
        <v>0.07354032525264739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59070000000</v>
      </c>
      <c r="C29" s="6" t="s">
        <v>32</v>
      </c>
    </row>
    <row r="30" spans="1:2" x14ac:dyDescent="0.25">
      <c r="A30" t="s">
        <v>33</v>
      </c>
      <c r="B30" s="10">
        <v>18796000000</v>
      </c>
    </row>
    <row r="31" spans="1:2" x14ac:dyDescent="0.25">
      <c r="A31" t="s">
        <v>34</v>
      </c>
      <c r="B31" s="12">
        <v>328500000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0.16244617098357872</v>
      </c>
      <c r="C5" s="5">
        <v>0.07024854459742191</v>
      </c>
      <c r="D5" s="5">
        <v>0.06459247652274418</v>
      </c>
      <c r="E5" s="5">
        <v>0.058936408448066434</v>
      </c>
      <c r="F5" s="5">
        <v>0.0532803403733887</v>
      </c>
      <c r="G5" s="5">
        <v>0.047624272298710954</v>
      </c>
      <c r="H5" s="5">
        <v>0.04196820422403322</v>
      </c>
      <c r="I5" s="5">
        <v>0.03631213614935548</v>
      </c>
      <c r="J5" s="5">
        <v>0.030656068074677738</v>
      </c>
      <c r="K5" s="5">
        <v>0.025</v>
      </c>
    </row>
    <row r="6" spans="1:11" x14ac:dyDescent="0.25">
      <c r="A6" t="s">
        <v>50</v>
      </c>
      <c r="B6" s="18">
        <f>Assumptions!B29*(1+B5)</f>
        <v>68665695319.99999</v>
      </c>
      <c r="C6" s="18">
        <f>B6*(1+C5)</f>
        <v>73489360480</v>
      </c>
      <c r="D6" s="18">
        <f>C6*(1+D5)</f>
        <v>78236220271.47588</v>
      </c>
      <c r="E6" s="18">
        <f>D6*(1+E5)</f>
        <v>82847182104.82846</v>
      </c>
      <c r="F6" s="18">
        <f>E6*(1+F5)</f>
        <v>87261308166.34985</v>
      </c>
      <c r="G6" s="18">
        <f>F6*(1+G5)</f>
        <v>91417064467.60583</v>
      </c>
      <c r="H6" s="18">
        <f>G6*(1+H5)</f>
        <v>95253674498.74393</v>
      </c>
      <c r="I6" s="18">
        <f>H6*(1+I5)</f>
        <v>98712538895.8687</v>
      </c>
      <c r="J6" s="18">
        <f>I6*(1+J5)</f>
        <v>101738677208.08472</v>
      </c>
      <c r="K6" s="18">
        <f>J6*(1+K5)</f>
        <v>104282144138.28682</v>
      </c>
    </row>
    <row r="7" spans="1:11" x14ac:dyDescent="0.25">
      <c r="A7" t="s">
        <v>4</v>
      </c>
      <c r="B7" s="9">
        <f>Assumptions!B7</f>
        <v>0.08164934707197935</v>
      </c>
      <c r="C7" s="9">
        <f>Assumptions!B7</f>
        <v>0.08164934707197935</v>
      </c>
      <c r="D7" s="9">
        <f>Assumptions!B7</f>
        <v>0.08164934707197935</v>
      </c>
      <c r="E7" s="9">
        <f>Assumptions!B7</f>
        <v>0.08164934707197935</v>
      </c>
      <c r="F7" s="9">
        <f>Assumptions!B7</f>
        <v>0.08164934707197935</v>
      </c>
      <c r="G7" s="9">
        <f>Assumptions!B7</f>
        <v>0.08164934707197935</v>
      </c>
      <c r="H7" s="9">
        <f>Assumptions!B7</f>
        <v>0.08164934707197935</v>
      </c>
      <c r="I7" s="9">
        <f>Assumptions!B7</f>
        <v>0.08164934707197935</v>
      </c>
      <c r="J7" s="9">
        <f>Assumptions!B7</f>
        <v>0.08164934707197935</v>
      </c>
      <c r="K7" s="9">
        <f>Assumptions!B7</f>
        <v>0.08164934707197935</v>
      </c>
    </row>
    <row r="8" spans="1:11" x14ac:dyDescent="0.25">
      <c r="A8" t="s">
        <v>51</v>
      </c>
      <c r="B8" s="18">
        <f>B6*B7</f>
        <v>5606509189.121468</v>
      </c>
      <c r="C8" s="18">
        <f>C6*C7</f>
        <v>6000358299.929323</v>
      </c>
      <c r="D8" s="18">
        <f>D6*D7</f>
        <v>6387936302.54556</v>
      </c>
      <c r="E8" s="18">
        <f>E6*E7</f>
        <v>6764418325.612616</v>
      </c>
      <c r="F8" s="18">
        <f>F6*F7</f>
        <v>7124828836.429245</v>
      </c>
      <c r="G8" s="18">
        <f>G6*G7</f>
        <v>7464143625.01706</v>
      </c>
      <c r="H8" s="18">
        <f>H6*H7</f>
        <v>7777400329.029291</v>
      </c>
      <c r="I8" s="18">
        <f>I6*I7</f>
        <v>8059814348.665045</v>
      </c>
      <c r="J8" s="18">
        <f>J6*J7</f>
        <v>8306896566.006984</v>
      </c>
      <c r="K8" s="18">
        <f>K6*K7</f>
        <v>8514568980.157158</v>
      </c>
    </row>
    <row r="9" spans="1:11" x14ac:dyDescent="0.25">
      <c r="A9" t="s">
        <v>52</v>
      </c>
      <c r="B9" s="18">
        <f>B8*(1-Assumptions!B8)</f>
        <v>4429142259.405959</v>
      </c>
      <c r="C9" s="18">
        <f>C8*(1-Assumptions!B8)</f>
        <v>4740283056.944165</v>
      </c>
      <c r="D9" s="18">
        <f>D8*(1-Assumptions!B8)</f>
        <v>5046469679.010993</v>
      </c>
      <c r="E9" s="18">
        <f>E8*(1-Assumptions!B8)</f>
        <v>5343890477.233967</v>
      </c>
      <c r="F9" s="18">
        <f>F8*(1-Assumptions!B8)</f>
        <v>5628614780.779104</v>
      </c>
      <c r="G9" s="18">
        <f>G8*(1-Assumptions!B8)</f>
        <v>5896673463.763478</v>
      </c>
      <c r="H9" s="18">
        <f>H8*(1-Assumptions!B8)</f>
        <v>6144146259.933141</v>
      </c>
      <c r="I9" s="18">
        <f>I8*(1-Assumptions!B8)</f>
        <v>6367253335.445386</v>
      </c>
      <c r="J9" s="18">
        <f>J8*(1-Assumptions!B8)</f>
        <v>6562448287.145517</v>
      </c>
      <c r="K9" s="18">
        <f>K8*(1-Assumptions!B8)</f>
        <v>6726509494.324155</v>
      </c>
    </row>
    <row r="10" spans="1:11" x14ac:dyDescent="0.25">
      <c r="A10" t="s">
        <v>53</v>
      </c>
      <c r="B10" s="18">
        <f>B6*Assumptions!B9</f>
        <v>3526364515.4570384</v>
      </c>
      <c r="C10" s="18">
        <f>C6*Assumptions!B9</f>
        <v>3774086490.3878884</v>
      </c>
      <c r="D10" s="18">
        <f>D6*Assumptions!B9</f>
        <v>4017864083.413074</v>
      </c>
      <c r="E10" s="18">
        <f>E6*Assumptions!B9</f>
        <v>4254662562.121922</v>
      </c>
      <c r="F10" s="18">
        <f>F6*Assumptions!B9</f>
        <v>4481352431.605693</v>
      </c>
      <c r="G10" s="18">
        <f>G6*Assumptions!B9</f>
        <v>4694773580.074973</v>
      </c>
      <c r="H10" s="18">
        <f>H6*Assumptions!B9</f>
        <v>4891804796.469155</v>
      </c>
      <c r="I10" s="18">
        <f>I6*Assumptions!B9</f>
        <v>5069436678.254613</v>
      </c>
      <c r="J10" s="18">
        <f>J6*Assumptions!B9</f>
        <v>5224845674.163454</v>
      </c>
      <c r="K10" s="18">
        <f>K6*Assumptions!B9</f>
        <v>5355466816.01754</v>
      </c>
    </row>
    <row r="11" spans="1:11" x14ac:dyDescent="0.25">
      <c r="A11" t="s">
        <v>54</v>
      </c>
      <c r="B11" s="18">
        <f>-B6*B19</f>
        <v>-7528049410.560028</v>
      </c>
      <c r="C11" s="18">
        <f>-C6*C19</f>
        <v>-7714696034.225267</v>
      </c>
      <c r="D11" s="18">
        <f>-D6*D19</f>
        <v>-7848716702.2907715</v>
      </c>
      <c r="E11" s="18">
        <f>-E6*E19</f>
        <v>-7925531238.442998</v>
      </c>
      <c r="F11" s="18">
        <f>-F6*F19</f>
        <v>-7941492145.206973</v>
      </c>
      <c r="G11" s="18">
        <f>-G6*G19</f>
        <v>-7894035421.216714</v>
      </c>
      <c r="H11" s="18">
        <f>-H6*H19</f>
        <v>-7781805028.536155</v>
      </c>
      <c r="I11" s="18">
        <f>-I6*I19</f>
        <v>-7604744627.630335</v>
      </c>
      <c r="J11" s="18">
        <f>-J6*J19</f>
        <v>-7364151249.665422</v>
      </c>
      <c r="K11" s="18">
        <f>-K6*K19</f>
        <v>-7062686960.272968</v>
      </c>
    </row>
    <row r="12" spans="1:11" x14ac:dyDescent="0.25">
      <c r="A12" t="s">
        <v>55</v>
      </c>
      <c r="B12" s="18">
        <f>-(B6-Assumptions!B29)*Assumptions!B11</f>
        <v>88866877.71899728</v>
      </c>
      <c r="C12" s="18">
        <f>-(C6-B6)*Assumptions!B11</f>
        <v>44672537.80324368</v>
      </c>
      <c r="D12" s="18">
        <f>-(D6-C6)*Assumptions!B11</f>
        <v>43961234.13371486</v>
      </c>
      <c r="E12" s="18">
        <f>-(E6-D6)*Assumptions!B11</f>
        <v>42702666.95082062</v>
      </c>
      <c r="F12" s="18">
        <f>-(F6-E6)*Assumptions!B11</f>
        <v>40879747.41422501</v>
      </c>
      <c r="G12" s="18">
        <f>-(G6-F6)*Assumptions!B11</f>
        <v>38486954.27875132</v>
      </c>
      <c r="H12" s="18">
        <f>-(H6-G6)*Assumptions!B11</f>
        <v>35531302.64380127</v>
      </c>
      <c r="I12" s="18">
        <f>-(I6-H6)*Assumptions!B11</f>
        <v>32032955.31749757</v>
      </c>
      <c r="J12" s="18">
        <f>-(J6-I6)*Assumptions!B11</f>
        <v>28025427.4843393</v>
      </c>
      <c r="K12" s="18">
        <f>-(K6-J6)*Assumptions!B11</f>
        <v>23555350.303534213</v>
      </c>
    </row>
    <row r="13" spans="1:11" x14ac:dyDescent="0.25">
      <c r="A13" s="19" t="s">
        <v>56</v>
      </c>
      <c r="B13" s="20">
        <f>B9+B10+B11+B12</f>
        <v>516324242.0219663</v>
      </c>
      <c r="C13" s="20">
        <f>C9+C10+C11+C12</f>
        <v>844346050.9100304</v>
      </c>
      <c r="D13" s="20">
        <f>D9+D10+D11+D12</f>
        <v>1259578294.26701</v>
      </c>
      <c r="E13" s="20">
        <f>E9+E10+E11+E12</f>
        <v>1715724467.863711</v>
      </c>
      <c r="F13" s="20">
        <f>F9+F10+F11+F12</f>
        <v>2209354814.592048</v>
      </c>
      <c r="G13" s="20">
        <f>G9+G10+G11+G12</f>
        <v>2735898576.900489</v>
      </c>
      <c r="H13" s="20">
        <f>H9+H10+H11+H12</f>
        <v>3289677330.5099425</v>
      </c>
      <c r="I13" s="20">
        <f>I9+I10+I11+I12</f>
        <v>3863978341.3871617</v>
      </c>
      <c r="J13" s="20">
        <f>J9+J10+J11+J12</f>
        <v>4451168139.127889</v>
      </c>
      <c r="K13" s="20">
        <f>K9+K10+K11+K12</f>
        <v>5042844700.37226</v>
      </c>
    </row>
    <row r="14" spans="1:11" x14ac:dyDescent="0.25">
      <c r="A14" t="s">
        <v>57</v>
      </c>
      <c r="B14" s="21">
        <f>1/(1+Assumptions!$B$26)^(1-0.5*Assumptions!$B$32)</f>
        <v>0.9651411190718016</v>
      </c>
      <c r="C14" s="21">
        <f>1/(1+Assumptions!$B$26)^(2-0.5*Assumptions!$B$32)</f>
        <v>0.8990264234784705</v>
      </c>
      <c r="D14" s="21">
        <f>1/(1+Assumptions!$B$26)^(3-0.5*Assumptions!$B$32)</f>
        <v>0.8374407577720875</v>
      </c>
      <c r="E14" s="21">
        <f>1/(1+Assumptions!$B$26)^(4-0.5*Assumptions!$B$32)</f>
        <v>0.7800738715380848</v>
      </c>
      <c r="F14" s="21">
        <f>1/(1+Assumptions!$B$26)^(5-0.5*Assumptions!$B$32)</f>
        <v>0.7266367673282342</v>
      </c>
      <c r="G14" s="21">
        <f>1/(1+Assumptions!$B$26)^(6-0.5*Assumptions!$B$32)</f>
        <v>0.6768602447767645</v>
      </c>
      <c r="H14" s="21">
        <f>1/(1+Assumptions!$B$26)^(7-0.5*Assumptions!$B$32)</f>
        <v>0.6304935444483392</v>
      </c>
      <c r="I14" s="21">
        <f>1/(1+Assumptions!$B$26)^(8-0.5*Assumptions!$B$32)</f>
        <v>0.5873030845860014</v>
      </c>
      <c r="J14" s="21">
        <f>1/(1+Assumptions!$B$26)^(9-0.5*Assumptions!$B$32)</f>
        <v>0.5470712843951951</v>
      </c>
      <c r="K14" s="21">
        <f>1/(1+Assumptions!$B$26)^(10-0.5*Assumptions!$B$32)</f>
        <v>0.5095954679359131</v>
      </c>
    </row>
    <row r="15" spans="1:11" x14ac:dyDescent="0.25">
      <c r="A15" s="19" t="s">
        <v>58</v>
      </c>
      <c r="B15" s="20">
        <f>B13*B14</f>
        <v>498325756.7489802</v>
      </c>
      <c r="C15" s="20">
        <f>C13*C14</f>
        <v>759089410.3278152</v>
      </c>
      <c r="D15" s="20">
        <f>D13*D14</f>
        <v>1054822201.2242383</v>
      </c>
      <c r="E15" s="20">
        <f>E13*E14</f>
        <v>1338391828.1390655</v>
      </c>
      <c r="F15" s="20">
        <f>F13*F14</f>
        <v>1605398440.3562362</v>
      </c>
      <c r="G15" s="20">
        <f>G13*G14</f>
        <v>1851820980.4452667</v>
      </c>
      <c r="H15" s="20">
        <f>H13*H14</f>
        <v>2074120320.204564</v>
      </c>
      <c r="I15" s="20">
        <f>I13*I14</f>
        <v>2269326398.6701818</v>
      </c>
      <c r="J15" s="20">
        <f>J13*J14</f>
        <v>2435106270.931665</v>
      </c>
      <c r="K15" s="20">
        <f>K13*K14</f>
        <v>2569810804.8143415</v>
      </c>
    </row>
    <row r="17" spans="1:2" x14ac:dyDescent="0.25">
      <c r="A17" s="22" t="s">
        <v>59</v>
      </c>
      <c r="B17" s="23">
        <f>SUM(B15:K15)</f>
        <v>16456212411.862354</v>
      </c>
    </row>
    <row r="19" spans="1:11" x14ac:dyDescent="0.25">
      <c r="A19" t="s">
        <v>7</v>
      </c>
      <c r="B19" s="9">
        <f>Assumptions!$B$10+($B$20-Assumptions!$B$10)*0/9</f>
        <v>0.1096333383864732</v>
      </c>
      <c r="C19" s="9">
        <f>Assumptions!$B$10+($B$20-Assumptions!$B$10)*1/9</f>
        <v>0.10497704679747225</v>
      </c>
      <c r="D19" s="9">
        <f>Assumptions!$B$10+($B$20-Assumptions!$B$10)*2/9</f>
        <v>0.10032075520847131</v>
      </c>
      <c r="E19" s="9">
        <f>Assumptions!$B$10+($B$20-Assumptions!$B$10)*3/9</f>
        <v>0.09566446361947036</v>
      </c>
      <c r="F19" s="9">
        <f>Assumptions!$B$10+($B$20-Assumptions!$B$10)*4/9</f>
        <v>0.09100817203046942</v>
      </c>
      <c r="G19" s="9">
        <f>Assumptions!$B$10+($B$20-Assumptions!$B$10)*5/9</f>
        <v>0.08635188044146846</v>
      </c>
      <c r="H19" s="9">
        <f>Assumptions!$B$10+($B$20-Assumptions!$B$10)*6/9</f>
        <v>0.08169558885246753</v>
      </c>
      <c r="I19" s="9">
        <f>Assumptions!$B$10+($B$20-Assumptions!$B$10)*7/9</f>
        <v>0.07703929726346657</v>
      </c>
      <c r="J19" s="9">
        <f>Assumptions!$B$10+($B$20-Assumptions!$B$10)*8/9</f>
        <v>0.07238300567446562</v>
      </c>
      <c r="K19" s="9">
        <f>Assumptions!$B$10+($B$20-Assumptions!$B$10)*9/9</f>
        <v>0.06772671408546468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0.06772671408546468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5042844700.37226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6726509494.324155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0.25380476243971495</v>
      </c>
    </row>
    <row r="7" spans="1:2" x14ac:dyDescent="0.25">
      <c r="A7" t="s">
        <v>66</v>
      </c>
      <c r="B7" s="18">
        <f>-MAX(B5,0)*B6</f>
        <v>-1707220144.2554293</v>
      </c>
    </row>
    <row r="8" spans="1:2" x14ac:dyDescent="0.25">
      <c r="A8" t="s">
        <v>67</v>
      </c>
      <c r="B8" s="18">
        <f>IF(OR(Assumptions!$B$33=0,Assumptions!B12&lt;=0),B5,MAX(B5+B7,0))</f>
        <v>5019289350.068726</v>
      </c>
    </row>
    <row r="9" spans="1:2" x14ac:dyDescent="0.25">
      <c r="A9" t="s">
        <v>68</v>
      </c>
      <c r="B9" s="18">
        <f>B8*(1+Assumptions!B12)/(Assumptions!B26-Assumptions!B12)</f>
        <v>105989639687.05272</v>
      </c>
    </row>
    <row r="10" spans="1:2" x14ac:dyDescent="0.25">
      <c r="A10" t="s">
        <v>69</v>
      </c>
      <c r="B10" s="18">
        <f>B9/(1+Assumptions!B26)^(10-0.5*Assumptions!B32)</f>
        <v>54011840032.682465</v>
      </c>
    </row>
    <row r="11" spans="1:2" x14ac:dyDescent="0.25">
      <c r="A11" t="s">
        <v>70</v>
      </c>
      <c r="B11" s="18">
        <f>Forecast!B17+B10</f>
        <v>70468052444.54482</v>
      </c>
    </row>
    <row r="12" spans="1:2" x14ac:dyDescent="0.25">
      <c r="A12" t="s">
        <v>71</v>
      </c>
      <c r="B12" s="18">
        <f>-Assumptions!B30</f>
        <v>-18796000000</v>
      </c>
    </row>
    <row r="13" spans="1:2" x14ac:dyDescent="0.25">
      <c r="A13" t="s">
        <v>72</v>
      </c>
      <c r="B13" s="18">
        <f>B11+B12</f>
        <v>51672052444.544815</v>
      </c>
    </row>
    <row r="14" spans="1:2" x14ac:dyDescent="0.25">
      <c r="A14" s="19" t="s">
        <v>73</v>
      </c>
      <c r="B14" s="24">
        <f>B13/Assumptions!B31</f>
        <v>157.29696330150628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13870035796.174698</v>
      </c>
    </row>
    <row r="18" spans="1:2" x14ac:dyDescent="0.25">
      <c r="A18" t="s">
        <v>68</v>
      </c>
      <c r="B18" s="18">
        <f>B17*Assumptions!B13</f>
        <v>92331882446.70729</v>
      </c>
    </row>
    <row r="19" spans="1:2" x14ac:dyDescent="0.25">
      <c r="A19" t="s">
        <v>69</v>
      </c>
      <c r="B19" s="18">
        <f>B18/(1+Assumptions!B26)^(10-0.5*Assumptions!B32)</f>
        <v>47051908840.83353</v>
      </c>
    </row>
    <row r="20" spans="1:2" x14ac:dyDescent="0.25">
      <c r="A20" t="s">
        <v>70</v>
      </c>
      <c r="B20" s="18">
        <f>Forecast!B17+B19</f>
        <v>63508121252.69588</v>
      </c>
    </row>
    <row r="21" spans="1:2" x14ac:dyDescent="0.25">
      <c r="A21" t="s">
        <v>71</v>
      </c>
      <c r="B21" s="18">
        <f>-Assumptions!B30</f>
        <v>-18796000000</v>
      </c>
    </row>
    <row r="22" spans="1:2" x14ac:dyDescent="0.25">
      <c r="A22" t="s">
        <v>72</v>
      </c>
      <c r="B22" s="18">
        <f>B20+B21</f>
        <v>44712121252.69588</v>
      </c>
    </row>
    <row r="23" spans="1:2" x14ac:dyDescent="0.25">
      <c r="A23" s="19" t="s">
        <v>73</v>
      </c>
      <c r="B23" s="25">
        <f>B22/Assumptions!B31</f>
        <v>136.1099581512812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104.24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157.29696330150628</v>
      </c>
    </row>
    <row r="29" spans="1:2" x14ac:dyDescent="0.25">
      <c r="A29" s="19" t="s">
        <v>81</v>
      </c>
      <c r="B29" s="11">
        <f>B28/B26-1</f>
        <v>0.5089885197765376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0.05354</v>
      </c>
      <c r="B5" s="31">
        <v>284.2952339214987</v>
      </c>
      <c r="C5" s="31">
        <v>304.8123784666987</v>
      </c>
      <c r="D5" s="31">
        <v>333.4607625082204</v>
      </c>
      <c r="E5" s="31">
        <v>375.4217196248585</v>
      </c>
      <c r="F5" s="31">
        <v>441.4659400068363</v>
      </c>
    </row>
    <row r="6" spans="1:6" x14ac:dyDescent="0.25">
      <c r="A6" s="30">
        <v>0.06354</v>
      </c>
      <c r="B6" s="31">
        <v>204.27812750946487</v>
      </c>
      <c r="C6" s="31">
        <v>211.92488196791845</v>
      </c>
      <c r="D6" s="31">
        <v>222.21440677000328</v>
      </c>
      <c r="E6" s="31">
        <v>236.32862067405173</v>
      </c>
      <c r="F6" s="31">
        <v>256.2776966488607</v>
      </c>
    </row>
    <row r="7" spans="1:6" x14ac:dyDescent="0.25">
      <c r="A7" s="30">
        <v>0.07354</v>
      </c>
      <c r="B7" s="31">
        <v>152.10488645193143</v>
      </c>
      <c r="C7" s="31">
        <v>154.23528387757193</v>
      </c>
      <c r="D7" s="32">
        <v>157.298632098535</v>
      </c>
      <c r="E7" s="31">
        <v>161.6163427347067</v>
      </c>
      <c r="F7" s="31">
        <v>167.67662118899642</v>
      </c>
    </row>
    <row r="8" spans="1:6" x14ac:dyDescent="0.25">
      <c r="A8" s="30">
        <v>0.08354</v>
      </c>
      <c r="B8" s="31">
        <v>115.55528473743148</v>
      </c>
      <c r="C8" s="31">
        <v>115.09312709790673</v>
      </c>
      <c r="D8" s="31">
        <v>114.93937066005341</v>
      </c>
      <c r="E8" s="31">
        <v>115.180418450115</v>
      </c>
      <c r="F8" s="31">
        <v>115.93827424680427</v>
      </c>
    </row>
    <row r="9" spans="1:6" x14ac:dyDescent="0.25">
      <c r="A9" s="30">
        <v>0.09354</v>
      </c>
      <c r="B9" s="31">
        <v>88.63530955840108</v>
      </c>
      <c r="C9" s="31">
        <v>86.90691527522605</v>
      </c>
      <c r="D9" s="31">
        <v>85.23943148689038</v>
      </c>
      <c r="E9" s="31">
        <v>83.64723744146745</v>
      </c>
      <c r="F9" s="31">
        <v>82.14962501021951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59070000000</v>
      </c>
      <c r="C5" s="18">
        <v>57063000000</v>
      </c>
      <c r="D5" s="18">
        <v>53717000000</v>
      </c>
      <c r="E5" s="18">
        <v>44955000000</v>
      </c>
      <c r="F5" s="6" t="s">
        <v>91</v>
      </c>
    </row>
    <row r="6" spans="1:6" x14ac:dyDescent="0.25">
      <c r="A6" t="s">
        <v>51</v>
      </c>
      <c r="B6" s="18">
        <v>4972000000</v>
      </c>
      <c r="C6" s="18">
        <v>5208000000</v>
      </c>
      <c r="D6" s="18">
        <v>5160000000</v>
      </c>
      <c r="E6" s="18">
        <v>2477000000</v>
      </c>
      <c r="F6" s="6" t="s">
        <v>92</v>
      </c>
    </row>
    <row r="7" spans="1:6" x14ac:dyDescent="0.25">
      <c r="A7" t="s">
        <v>93</v>
      </c>
      <c r="B7" s="18">
        <v>2939000000</v>
      </c>
      <c r="C7" s="18">
        <v>2928000000</v>
      </c>
      <c r="D7" s="18">
        <v>2671000000</v>
      </c>
      <c r="E7" s="18">
        <v>2456000000</v>
      </c>
      <c r="F7" s="6" t="s">
        <v>94</v>
      </c>
    </row>
    <row r="8" spans="1:6" x14ac:dyDescent="0.25">
      <c r="A8" t="s">
        <v>95</v>
      </c>
      <c r="B8" s="18">
        <v>5874000000</v>
      </c>
      <c r="C8" s="18">
        <v>5615000000</v>
      </c>
      <c r="D8" s="18">
        <v>7171000000</v>
      </c>
      <c r="E8" s="18">
        <v>4819000000</v>
      </c>
      <c r="F8" s="6" t="s">
        <v>96</v>
      </c>
    </row>
    <row r="9" spans="1:6" x14ac:dyDescent="0.25">
      <c r="A9" t="s">
        <v>97</v>
      </c>
      <c r="B9" s="18">
        <v>-1190000000</v>
      </c>
      <c r="C9" s="18">
        <v>-1901000000</v>
      </c>
      <c r="D9" s="18">
        <v>-664000000</v>
      </c>
      <c r="E9" s="18">
        <v>-2255000000</v>
      </c>
      <c r="F9" s="6" t="s">
        <v>98</v>
      </c>
    </row>
    <row r="10" spans="1:6" x14ac:dyDescent="0.25">
      <c r="A10" t="s">
        <v>99</v>
      </c>
      <c r="B10" s="18">
        <v>31036000000</v>
      </c>
      <c r="C10" s="18">
        <v>33633000000</v>
      </c>
      <c r="D10" s="18">
        <v>36739000000</v>
      </c>
      <c r="E10" s="18">
        <v>36433000000</v>
      </c>
      <c r="F10" s="6" t="s">
        <v>100</v>
      </c>
    </row>
    <row r="11" spans="1:6" x14ac:dyDescent="0.25">
      <c r="A11" t="s">
        <v>101</v>
      </c>
      <c r="B11" s="18">
        <v>12240000000</v>
      </c>
      <c r="C11" s="18">
        <v>14475000000</v>
      </c>
      <c r="D11" s="18">
        <v>14388000000</v>
      </c>
      <c r="E11" s="18">
        <v>16414000000</v>
      </c>
      <c r="F11" s="6" t="s">
        <v>102</v>
      </c>
    </row>
    <row r="12" spans="1:6" x14ac:dyDescent="0.25">
      <c r="A12" t="s">
        <v>34</v>
      </c>
      <c r="B12" s="34">
        <v>328500000</v>
      </c>
      <c r="C12" s="34">
        <v>333200000</v>
      </c>
      <c r="D12" s="34">
        <v>331900000</v>
      </c>
      <c r="E12" s="34">
        <v>330100000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