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<sst xmlns="http://schemas.openxmlformats.org/spreadsheetml/2006/main" count="112" uniqueCount="100">
  <si>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United Airlines Holdings, Inc. (UAL)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</si>
  <si>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</si>
  <si>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</si>
  <si>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</si>
  <si>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</si>
  <si>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</si>
  <si>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</si>
  <si>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</si>
  <si>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</si>
  <si>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</si>
  <si>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</si>
  <si>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</si>
  <si>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</si>
  <si>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</si>
  <si>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</si>
  <si>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</si>
  <si>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</si>
  <si>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</si>
  <si>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</si>
  <si>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</si>
  <si>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</si>
  <si>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</si>
  <si>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</si>
  <si>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</si>
  <si>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</si>
  <si>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</si>
  <si>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</si>
  <si>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</si>
  <si>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</si>
  <si>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</si>
  <si>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</si>
  <si>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</si>
  <si>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</si>
  <si>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</si>
  <si>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</si>
  <si>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</si>
  <si>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</si>
  <si>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</si>
  <si>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</si>
  <si>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</si>
  <si>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</si>
  <si>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</si>
  <si>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</si>
  <si>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</si>
  <si>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</si>
  <si>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</si>
  <si>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</si>
  <si>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</si>
  <si>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</si>
  <si>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</si>
  <si>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</si>
  <si>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</si>
  <si>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</si>
  <si>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</si>
  <si>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</si>
  <si>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</si>
  <si>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</si>
  <si>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</si>
  <si>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</si>
  <si>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</si>
  <si>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</si>
  <si>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</si>
  <si>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</si>
  <si>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</si>
  <si>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</si>
  <si>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</si>
  <si>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</si>
  <si>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</si>
  <si>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</si>
  <si>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</si>
  <si>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</si>
  <si>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</si>
  <si>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</si>
  <si>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</si>
  <si>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</si>
  <si>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</si>
  <si>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</si>
  <si>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</si>
  <si>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</si>
  <si>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</si>
  <si>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</si>
  <si>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</si>
  <si>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</si>
  <si>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</si>
  <si>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</si>
  <si>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</si>
  <si>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</si>
  <si>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</si>
  <si>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</si>
  <si>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</si>
  <si>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</si>
  <si>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</si>
  <si>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</si>
  <si>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</si>
  <si>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</si>
  <si>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</si>
  <si>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</si>
  <si>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</si>
  <si>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11.0% of revenue against depreciation of 5.1%.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</si>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</sst>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0.09529134601036815</v>
      </c>
    </row>
    <row r="7" spans="1:2" x14ac:dyDescent="0.25">
      <c r="A7" t="s">
        <v>5</v>
      </c>
      <c r="B7" s="6">
        <v>0.08164934707197935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0.051355549507265064</v>
      </c>
    </row>
    <row r="10" spans="1:2" x14ac:dyDescent="0.25">
      <c r="A10" t="s">
        <v>8</v>
      </c>
      <c r="B10" s="6">
        <v>0.1096333383864732</v>
      </c>
    </row>
    <row r="11" spans="1:2" x14ac:dyDescent="0.25">
      <c r="A11" t="s">
        <v>9</v>
      </c>
      <c r="B11" s="6">
        <v>-0.5681410639569635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6.836048058652509</v>
      </c>
    </row>
    <row r="14" spans="1:3" x14ac:dyDescent="0.25">
      <c r="A14" t="s">
        <v>12</v>
      </c>
      <c r="B14" s="6">
        <v>0.0985009097531735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1.1822400000000002</v>
      </c>
      <c r="C19" s="8" t="s">
        <v>19</v>
      </c>
    </row>
    <row r="20" spans="1:2" x14ac:dyDescent="0.25">
      <c r="A20" t="s">
        <v>20</v>
      </c>
      <c r="B20" s="10">
        <f>B17+B19*B18</f>
        <v>0.11500320000000003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35283976192</v>
      </c>
    </row>
    <row r="23" spans="1:2" x14ac:dyDescent="0.25">
      <c r="A23" t="s">
        <v>24</v>
      </c>
      <c r="B23" s="11">
        <v>31036000000</v>
      </c>
    </row>
    <row r="24" spans="1:2" x14ac:dyDescent="0.25">
      <c r="A24" t="s">
        <v>25</v>
      </c>
      <c r="B24" s="10">
        <f>B22/(B22+B23)</f>
        <v>0.5320263700012638</v>
      </c>
    </row>
    <row r="25" spans="1:2" x14ac:dyDescent="0.25">
      <c r="A25" t="s">
        <v>26</v>
      </c>
      <c r="B25" s="10">
        <f>1-B24</f>
        <v>0.46797362999873615</v>
      </c>
    </row>
    <row r="26" spans="1:2" x14ac:dyDescent="0.25">
      <c r="A26" t="s">
        <v>27</v>
      </c>
      <c r="B26" s="12">
        <f>B24*B20+B25*B21*(1-B8)</f>
        <v>0.07966229943612546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59070000000</v>
      </c>
      <c r="C29" s="8" t="s">
        <v>30</v>
      </c>
    </row>
    <row r="30" spans="1:2" x14ac:dyDescent="0.25">
      <c r="A30" t="s">
        <v>31</v>
      </c>
      <c r="B30" s="11">
        <v>18796000000</v>
      </c>
    </row>
    <row r="31" spans="1:2" x14ac:dyDescent="0.25">
      <c r="A31" t="s">
        <v>32</v>
      </c>
      <c r="B31" s="13">
        <v>328500000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0.09529134601036815</v>
      </c>
      <c r="C5" s="10">
        <f>Assumptions!B6</f>
        <v>0.09529134601036815</v>
      </c>
      <c r="D5" s="10">
        <f>Assumptions!B6</f>
        <v>0.09529134601036815</v>
      </c>
      <c r="E5" s="10">
        <f>Assumptions!B6</f>
        <v>0.09529134601036815</v>
      </c>
      <c r="F5" s="10">
        <f>Assumptions!B6</f>
        <v>0.09529134601036815</v>
      </c>
    </row>
    <row r="6" spans="1:6" x14ac:dyDescent="0.25">
      <c r="A6" t="s">
        <v>43</v>
      </c>
      <c r="B6" s="18">
        <f>Assumptions!B29*(1+B5)</f>
        <v>64698859808.83244</v>
      </c>
      <c r="C6" s="18">
        <f>B6*(1+C5)</f>
        <v>70864101245.3522</v>
      </c>
      <c r="D6" s="18">
        <f>C6*(1+D5)</f>
        <v>77616836836.83682</v>
      </c>
      <c r="E6" s="18">
        <f>D6*(1+E5)</f>
        <v>85013049692.08614</v>
      </c>
      <c r="F6" s="18">
        <f>E6*(1+F5)</f>
        <v>93114057625.69133</v>
      </c>
    </row>
    <row r="7" spans="1:6" x14ac:dyDescent="0.25">
      <c r="A7" t="s">
        <v>5</v>
      </c>
      <c r="B7" s="10">
        <f>Assumptions!B7</f>
        <v>0.08164934707197935</v>
      </c>
      <c r="C7" s="10">
        <f>Assumptions!B7</f>
        <v>0.08164934707197935</v>
      </c>
      <c r="D7" s="10">
        <f>Assumptions!B7</f>
        <v>0.08164934707197935</v>
      </c>
      <c r="E7" s="10">
        <f>Assumptions!B7</f>
        <v>0.08164934707197935</v>
      </c>
      <c r="F7" s="10">
        <f>Assumptions!B7</f>
        <v>0.08164934707197935</v>
      </c>
    </row>
    <row r="8" spans="1:6" x14ac:dyDescent="0.25">
      <c r="A8" t="s">
        <v>44</v>
      </c>
      <c r="B8" s="18">
        <f>B6*B7</f>
        <v>5282619659.692696</v>
      </c>
      <c r="C8" s="18">
        <f>C6*C7</f>
        <v>5786007597.525646</v>
      </c>
      <c r="D8" s="18">
        <f>D6*D7</f>
        <v>6337364049.5200815</v>
      </c>
      <c r="E8" s="18">
        <f>E6*E7</f>
        <v>6941259999.956568</v>
      </c>
      <c r="F8" s="18">
        <f>F6*F7</f>
        <v>7602702008.360357</v>
      </c>
    </row>
    <row r="9" spans="1:6" x14ac:dyDescent="0.25">
      <c r="A9" t="s">
        <v>45</v>
      </c>
      <c r="B9" s="18">
        <f>B8*(1-Assumptions!B8)</f>
        <v>4173269531.15723</v>
      </c>
      <c r="C9" s="18">
        <f>C8*(1-Assumptions!B8)</f>
        <v>4570946002.04526</v>
      </c>
      <c r="D9" s="18">
        <f>D8*(1-Assumptions!B8)</f>
        <v>5006517599.120865</v>
      </c>
      <c r="E9" s="18">
        <f>E8*(1-Assumptions!B8)</f>
        <v>5483595399.965689</v>
      </c>
      <c r="F9" s="18">
        <f>F8*(1-Assumptions!B8)</f>
        <v>6006134586.604683</v>
      </c>
    </row>
    <row r="10" spans="1:6" x14ac:dyDescent="0.25">
      <c r="A10" t="s">
        <v>46</v>
      </c>
      <c r="B10" s="18">
        <f>B6*Assumptions!B9</f>
        <v>3322645497.9760966</v>
      </c>
      <c r="C10" s="18">
        <f>C6*Assumptions!B9</f>
        <v>3639264859.793529</v>
      </c>
      <c r="D10" s="18">
        <f>D6*Assumptions!B9</f>
        <v>3986055306.771488</v>
      </c>
      <c r="E10" s="18">
        <f>E6*Assumptions!B9</f>
        <v>4365891882.225514</v>
      </c>
      <c r="F10" s="18">
        <f>F6*Assumptions!B9</f>
        <v>4781923596.218523</v>
      </c>
    </row>
    <row r="11" spans="1:6" x14ac:dyDescent="0.25">
      <c r="A11" t="s">
        <v>47</v>
      </c>
      <c r="B11" s="18">
        <f>-B6*Assumptions!B10</f>
        <v>-7093151990.6407175</v>
      </c>
      <c r="C11" s="18">
        <f>-C6*Assumptions!B10</f>
        <v>-7769067991.284995</v>
      </c>
      <c r="D11" s="18">
        <f>-D6*Assumptions!B10</f>
        <v>-8509392937.420609</v>
      </c>
      <c r="E11" s="18">
        <f>-E6*Assumptions!B10</f>
        <v>-9320264444.15854</v>
      </c>
      <c r="F11" s="18">
        <f>-F6*Assumptions!B10</f>
        <v>-10208404988.214983</v>
      </c>
    </row>
    <row r="12" spans="1:6" x14ac:dyDescent="0.25">
      <c r="A12" t="s">
        <v>48</v>
      </c>
      <c r="B12" s="18">
        <f>-(B6-Assumptions!B29)*Assumptions!B11</f>
        <v>3197986400.6546545</v>
      </c>
      <c r="C12" s="18">
        <f>-(C6-B6)*Assumptions!B11</f>
        <v>3502726829.2958946</v>
      </c>
      <c r="D12" s="18">
        <f>-(D6-C6)*Assumptions!B11</f>
        <v>3836506383.566127</v>
      </c>
      <c r="E12" s="18">
        <f>-(E6-D6)*Assumptions!B11</f>
        <v>4202092240.8335156</v>
      </c>
      <c r="F12" s="18">
        <f>-(F6-E6)*Assumptions!B11</f>
        <v>4602515266.522258</v>
      </c>
    </row>
    <row r="13" spans="1:6" x14ac:dyDescent="0.25">
      <c r="A13" s="19" t="s">
        <v>49</v>
      </c>
      <c r="B13" s="20">
        <f>B9+B10+B11+B12</f>
        <v>3600749439.1472635</v>
      </c>
      <c r="C13" s="20">
        <f>C9+C10+C11+C12</f>
        <v>3943869699.8496885</v>
      </c>
      <c r="D13" s="20">
        <f>D9+D10+D11+D12</f>
        <v>4319686352.03787</v>
      </c>
      <c r="E13" s="20">
        <f>E9+E10+E11+E12</f>
        <v>4731315078.8661785</v>
      </c>
      <c r="F13" s="20">
        <f>F9+F10+F11+F12</f>
        <v>5182168461.130481</v>
      </c>
    </row>
    <row r="14" spans="1:6" x14ac:dyDescent="0.25">
      <c r="A14" t="s">
        <v>50</v>
      </c>
      <c r="B14" s="21">
        <f>1/(1+Assumptions!$B$26)^(1-0.5*Assumptions!$B$32)</f>
        <v>0.962400924920194</v>
      </c>
      <c r="C14" s="21">
        <f>1/(1+Assumptions!$B$26)^(2-0.5*Assumptions!$B$32)</f>
        <v>0.8913906926479015</v>
      </c>
      <c r="D14" s="21">
        <f>1/(1+Assumptions!$B$26)^(3-0.5*Assumptions!$B$32)</f>
        <v>0.8256199119978973</v>
      </c>
      <c r="E14" s="21">
        <f>1/(1+Assumptions!$B$26)^(4-0.5*Assumptions!$B$32)</f>
        <v>0.7647019928630399</v>
      </c>
      <c r="F14" s="21">
        <f>1/(1+Assumptions!$B$26)^(5-0.5*Assumptions!$B$32)</f>
        <v>0.7082788694783732</v>
      </c>
    </row>
    <row r="15" spans="1:6" x14ac:dyDescent="0.25">
      <c r="A15" s="19" t="s">
        <v>51</v>
      </c>
      <c r="B15" s="20">
        <f>B13*B14</f>
        <v>3465364590.6411963</v>
      </c>
      <c r="C15" s="20">
        <f>C13*C14</f>
        <v>3515528743.4620852</v>
      </c>
      <c r="D15" s="20">
        <f>D13*D14</f>
        <v>3566419065.8280244</v>
      </c>
      <c r="E15" s="20">
        <f>E13*E14</f>
        <v>3618046069.6719174</v>
      </c>
      <c r="F15" s="20">
        <f>F13*F14</f>
        <v>3670420419.095978</v>
      </c>
    </row>
    <row r="17" spans="1:2" x14ac:dyDescent="0.25">
      <c r="A17" s="22" t="s">
        <v>52</v>
      </c>
      <c r="B17" s="23">
        <f>SUM(B15:F15)</f>
        <v>17835778888.6992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5182168461.130481</v>
      </c>
    </row>
    <row r="5" spans="1:2" x14ac:dyDescent="0.25">
      <c r="A5" t="s">
        <v>56</v>
      </c>
      <c r="B5" s="18">
        <f>IF(Assumptions!$B$33=0,B4,B4-Forecast!F11-Forecast!F10-Forecast!F12)</f>
        <v>6006134586.604683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0.25380476243971495</v>
      </c>
    </row>
    <row r="7" spans="1:2" x14ac:dyDescent="0.25">
      <c r="A7" t="s">
        <v>58</v>
      </c>
      <c r="B7" s="18">
        <f>-MAX(Forecast!F9,0)*B6</f>
        <v>-1524385561.9341571</v>
      </c>
    </row>
    <row r="8" spans="1:2" x14ac:dyDescent="0.25">
      <c r="A8" t="s">
        <v>59</v>
      </c>
      <c r="B8" s="18">
        <f>IF(OR(Assumptions!$B$33=0,Assumptions!B12&lt;=0),B5,MAX(B5+B7,0))</f>
        <v>4481749024.670526</v>
      </c>
    </row>
    <row r="9" spans="1:2" x14ac:dyDescent="0.25">
      <c r="A9" t="s">
        <v>60</v>
      </c>
      <c r="B9" s="18">
        <f>B8*(1+Assumptions!B12)/(Assumptions!B26-Assumptions!B12)</f>
        <v>84039507991.34006</v>
      </c>
    </row>
    <row r="10" spans="1:2" x14ac:dyDescent="0.25">
      <c r="A10" t="s">
        <v>61</v>
      </c>
      <c r="B10" s="18">
        <f>B9/(1+Assumptions!B26)^(5-0.5*Assumptions!B32)</f>
        <v>59523407711.625046</v>
      </c>
    </row>
    <row r="11" spans="1:2" x14ac:dyDescent="0.25">
      <c r="A11" t="s">
        <v>62</v>
      </c>
      <c r="B11" s="18">
        <f>Forecast!B17+B10</f>
        <v>77359186600.32425</v>
      </c>
    </row>
    <row r="12" spans="1:2" x14ac:dyDescent="0.25">
      <c r="A12" t="s">
        <v>63</v>
      </c>
      <c r="B12" s="18">
        <f>-Assumptions!B30</f>
        <v>-18796000000</v>
      </c>
    </row>
    <row r="13" spans="1:2" x14ac:dyDescent="0.25">
      <c r="A13" t="s">
        <v>64</v>
      </c>
      <c r="B13" s="18">
        <f>B11+B12</f>
        <v>58563186600.32425</v>
      </c>
    </row>
    <row r="14" spans="1:2" x14ac:dyDescent="0.25">
      <c r="A14" s="19" t="s">
        <v>65</v>
      </c>
      <c r="B14" s="24">
        <f>B13/Assumptions!B31</f>
        <v>178.27454064025648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12384625604.57888</v>
      </c>
    </row>
    <row r="18" spans="1:2" x14ac:dyDescent="0.25">
      <c r="A18" t="s">
        <v>60</v>
      </c>
      <c r="B18" s="18">
        <f>B17*Assumptions!B13</f>
        <v>84661895821.31961</v>
      </c>
    </row>
    <row r="19" spans="1:2" x14ac:dyDescent="0.25">
      <c r="A19" t="s">
        <v>61</v>
      </c>
      <c r="B19" s="18">
        <f>B18/(1+Assumptions!B26)^(5-0.5*Assumptions!B32)</f>
        <v>59964231860.220055</v>
      </c>
    </row>
    <row r="20" spans="1:2" x14ac:dyDescent="0.25">
      <c r="A20" t="s">
        <v>62</v>
      </c>
      <c r="B20" s="18">
        <f>Forecast!B17+B19</f>
        <v>77800010748.91925</v>
      </c>
    </row>
    <row r="21" spans="1:2" x14ac:dyDescent="0.25">
      <c r="A21" t="s">
        <v>63</v>
      </c>
      <c r="B21" s="18">
        <f>-Assumptions!B30</f>
        <v>-18796000000</v>
      </c>
    </row>
    <row r="22" spans="1:2" x14ac:dyDescent="0.25">
      <c r="A22" t="s">
        <v>64</v>
      </c>
      <c r="B22" s="18">
        <f>B20+B21</f>
        <v>59004010748.91925</v>
      </c>
    </row>
    <row r="23" spans="1:2" x14ac:dyDescent="0.25">
      <c r="A23" s="19" t="s">
        <v>65</v>
      </c>
      <c r="B23" s="25">
        <f>B22/Assumptions!B31</f>
        <v>179.61647107737977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108.71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178.27454064025648</v>
      </c>
    </row>
    <row r="29" spans="1:2" x14ac:dyDescent="0.25">
      <c r="A29" s="19" t="s">
        <v>73</v>
      </c>
      <c r="B29" s="12">
        <f>B28/B26-1</f>
        <v>0.6399093058619858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0.059662</v>
      </c>
      <c r="B5" s="31">
        <v>271.11045886041563</v>
      </c>
      <c r="C5" s="31">
        <v>288.4388864423473</v>
      </c>
      <c r="D5" s="31">
        <v>310.5602797279812</v>
      </c>
      <c r="E5" s="31">
        <v>339.8984296132627</v>
      </c>
      <c r="F5" s="31">
        <v>380.8427347274479</v>
      </c>
    </row>
    <row r="6" spans="1:6" x14ac:dyDescent="0.25">
      <c r="A6" s="30">
        <v>0.069662</v>
      </c>
      <c r="B6" s="31">
        <v>210.93458497829178</v>
      </c>
      <c r="C6" s="31">
        <v>219.40929027390428</v>
      </c>
      <c r="D6" s="31">
        <v>229.6280394555016</v>
      </c>
      <c r="E6" s="31">
        <v>242.2504225157664</v>
      </c>
      <c r="F6" s="31">
        <v>258.31661336791785</v>
      </c>
    </row>
    <row r="7" spans="1:6" x14ac:dyDescent="0.25">
      <c r="A7" s="30">
        <v>0.079662</v>
      </c>
      <c r="B7" s="31">
        <v>169.39568192195142</v>
      </c>
      <c r="C7" s="31">
        <v>173.51872790645731</v>
      </c>
      <c r="D7" s="32">
        <v>178.2757974546849</v>
      </c>
      <c r="E7" s="31">
        <v>183.8583921867026</v>
      </c>
      <c r="F7" s="31">
        <v>190.54376967621616</v>
      </c>
    </row>
    <row r="8" spans="1:6" x14ac:dyDescent="0.25">
      <c r="A8" s="30">
        <v>0.089662</v>
      </c>
      <c r="B8" s="31">
        <v>139.00425569480203</v>
      </c>
      <c r="C8" s="31">
        <v>140.80269568045784</v>
      </c>
      <c r="D8" s="31">
        <v>142.7817374916816</v>
      </c>
      <c r="E8" s="31">
        <v>144.9867873733783</v>
      </c>
      <c r="F8" s="31">
        <v>147.4798650294938</v>
      </c>
    </row>
    <row r="9" spans="1:6" x14ac:dyDescent="0.25">
      <c r="A9" s="30">
        <v>0.099662</v>
      </c>
      <c r="B9" s="31">
        <v>116.06299901726575</v>
      </c>
      <c r="C9" s="31">
        <v>116.66118139098225</v>
      </c>
      <c r="D9" s="31">
        <v>117.25936376469869</v>
      </c>
      <c r="E9" s="31">
        <v>117.85754613841524</v>
      </c>
      <c r="F9" s="31">
        <v>118.45572851213174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59070000000</v>
      </c>
      <c r="C5" s="18">
        <v>57063000000</v>
      </c>
      <c r="D5" s="18">
        <v>53717000000</v>
      </c>
      <c r="E5" s="18">
        <v>44955000000</v>
      </c>
      <c r="F5" s="8" t="s">
        <v>84</v>
      </c>
    </row>
    <row r="6" spans="1:6" x14ac:dyDescent="0.25">
      <c r="A6" t="s">
        <v>44</v>
      </c>
      <c r="B6" s="18">
        <v>4972000000</v>
      </c>
      <c r="C6" s="18">
        <v>5208000000</v>
      </c>
      <c r="D6" s="18">
        <v>5160000000</v>
      </c>
      <c r="E6" s="18">
        <v>2477000000</v>
      </c>
      <c r="F6" s="8" t="s">
        <v>85</v>
      </c>
    </row>
    <row r="7" spans="1:6" x14ac:dyDescent="0.25">
      <c r="A7" t="s">
        <v>86</v>
      </c>
      <c r="B7" s="18">
        <v>2939000000</v>
      </c>
      <c r="C7" s="18">
        <v>2928000000</v>
      </c>
      <c r="D7" s="18">
        <v>2671000000</v>
      </c>
      <c r="E7" s="18">
        <v>2456000000</v>
      </c>
      <c r="F7" s="8" t="s">
        <v>87</v>
      </c>
    </row>
    <row r="8" spans="1:6" x14ac:dyDescent="0.25">
      <c r="A8" t="s">
        <v>88</v>
      </c>
      <c r="B8" s="18">
        <v>5874000000</v>
      </c>
      <c r="C8" s="18">
        <v>5615000000</v>
      </c>
      <c r="D8" s="18">
        <v>7171000000</v>
      </c>
      <c r="E8" s="18">
        <v>4819000000</v>
      </c>
      <c r="F8" s="8" t="s">
        <v>89</v>
      </c>
    </row>
    <row r="9" spans="1:6" x14ac:dyDescent="0.25">
      <c r="A9" t="s">
        <v>90</v>
      </c>
      <c r="B9" s="18">
        <v>-1190000000</v>
      </c>
      <c r="C9" s="18">
        <v>-1901000000</v>
      </c>
      <c r="D9" s="18">
        <v>-664000000</v>
      </c>
      <c r="E9" s="18">
        <v>-2255000000</v>
      </c>
      <c r="F9" s="8" t="s">
        <v>91</v>
      </c>
    </row>
    <row r="10" spans="1:6" x14ac:dyDescent="0.25">
      <c r="A10" t="s">
        <v>92</v>
      </c>
      <c r="B10" s="18">
        <v>31036000000</v>
      </c>
      <c r="C10" s="18">
        <v>33633000000</v>
      </c>
      <c r="D10" s="18">
        <v>36739000000</v>
      </c>
      <c r="E10" s="18">
        <v>36433000000</v>
      </c>
      <c r="F10" s="8" t="s">
        <v>93</v>
      </c>
    </row>
    <row r="11" spans="1:6" x14ac:dyDescent="0.25">
      <c r="A11" t="s">
        <v>94</v>
      </c>
      <c r="B11" s="18">
        <v>12240000000</v>
      </c>
      <c r="C11" s="18">
        <v>14475000000</v>
      </c>
      <c r="D11" s="18">
        <v>14388000000</v>
      </c>
      <c r="E11" s="18">
        <v>16414000000</v>
      </c>
      <c r="F11" s="8" t="s">
        <v>95</v>
      </c>
    </row>
    <row r="12" spans="1:6" x14ac:dyDescent="0.25">
      <c r="A12" t="s">
        <v>32</v>
      </c>
      <c r="B12" s="34">
        <v>328500000</v>
      </c>
      <c r="C12" s="34">
        <v>333200000</v>
      </c>
      <c r="D12" s="34">
        <v>331900000</v>
      </c>
      <c r="E12" s="34">
        <v>330100000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2026-09-19T01:03:27Z</dcterms:modified>
</cp:coreProperties>
</file>