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<sst xmlns="http://schemas.openxmlformats.org/spreadsheetml/2006/main" count="113" uniqueCount="101">
  <si>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Uber Technologies, Inc. (UBER)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</si>
  <si>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</si>
  <si>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</si>
  <si>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</si>
  <si>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</si>
  <si>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</si>
  <si>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</si>
  <si>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</si>
  <si>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</si>
  <si>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</si>
  <si>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</si>
  <si>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</si>
  <si>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</si>
  <si>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</si>
  <si>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</si>
  <si>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</si>
  <si>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</si>
  <si>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</si>
  <si>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</si>
  <si>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</si>
  <si>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</si>
  <si>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</si>
  <si>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</si>
  <si>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</si>
  <si>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</si>
  <si>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</si>
  <si>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</si>
  <si>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</si>
  <si>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</si>
  <si>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</si>
  <si>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</si>
  <si>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</si>
  <si>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</si>
  <si>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</si>
  <si>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</si>
  <si>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</si>
  <si>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</si>
  <si>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</si>
  <si>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</si>
  <si>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</si>
  <si>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</si>
  <si>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</si>
  <si>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</si>
  <si>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</si>
  <si>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</si>
  <si>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</si>
  <si>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</si>
  <si>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</si>
  <si>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</si>
  <si>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</si>
  <si>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</si>
  <si>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</si>
  <si>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</si>
  <si>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</si>
  <si>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</si>
  <si>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</si>
  <si>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</si>
  <si>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</si>
  <si>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</si>
  <si>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</si>
  <si>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</si>
  <si>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</si>
  <si>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</si>
  <si>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</si>
  <si>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</si>
  <si>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</si>
  <si>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</si>
  <si>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</si>
  <si>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</si>
  <si>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</si>
  <si>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</si>
  <si>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</si>
  <si>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</si>
  <si>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</si>
  <si>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</si>
  <si>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</si>
  <si>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</si>
  <si>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</si>
  <si>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</si>
  <si>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</si>
  <si>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</si>
  <si>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</si>
  <si>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</si>
  <si>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</si>
  <si>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</si>
  <si>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</si>
  <si>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</si>
  <si>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</si>
  <si>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</si>
  <si>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</si>
  <si>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</si>
  <si>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</si>
  <si>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</si>
  <si>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</si>
  <si>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</si>
  <si>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</si>
  <si>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</si>
  <si>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</si>
  <si>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0.65% of revenue, which is too low to be the company's real investment - property trusts and similar structures invest through lines that are not reported as capex. Capex has been set to 2.07%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</si>
  <si>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23.5x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</si>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</sst>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0.17730580736694201</v>
      </c>
    </row>
    <row r="7" spans="1:2" x14ac:dyDescent="0.25">
      <c r="A7" t="s">
        <v>5</v>
      </c>
      <c r="B7" s="6">
        <v>0.03573317247753318</v>
      </c>
    </row>
    <row r="8" spans="1:2" x14ac:dyDescent="0.25">
      <c r="A8" t="s">
        <v>6</v>
      </c>
      <c r="B8" s="6">
        <v>0.09177078845325291</v>
      </c>
    </row>
    <row r="9" spans="1:2" x14ac:dyDescent="0.25">
      <c r="A9" t="s">
        <v>7</v>
      </c>
      <c r="B9" s="6">
        <v>0.020725649239809144</v>
      </c>
    </row>
    <row r="10" spans="1:2" x14ac:dyDescent="0.25">
      <c r="A10" t="s">
        <v>8</v>
      </c>
      <c r="B10" s="6">
        <v>0.020725649239809144</v>
      </c>
    </row>
    <row r="11" spans="1:2" x14ac:dyDescent="0.25">
      <c r="A11" t="s">
        <v>9</v>
      </c>
      <c r="B11" s="6">
        <v>-0.2770245055355144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0.10577390481657836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1.10653</v>
      </c>
      <c r="C19" s="8" t="s">
        <v>19</v>
      </c>
    </row>
    <row r="20" spans="1:2" x14ac:dyDescent="0.25">
      <c r="A20" t="s">
        <v>20</v>
      </c>
      <c r="B20" s="10">
        <f>B17+B19*B18</f>
        <v>0.11083915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144000483328</v>
      </c>
    </row>
    <row r="23" spans="1:2" x14ac:dyDescent="0.25">
      <c r="A23" t="s">
        <v>24</v>
      </c>
      <c r="B23" s="11">
        <v>12080000000</v>
      </c>
    </row>
    <row r="24" spans="1:2" x14ac:dyDescent="0.25">
      <c r="A24" t="s">
        <v>25</v>
      </c>
      <c r="B24" s="10">
        <f>B22/(B22+B23)</f>
        <v>0.9226040325963489</v>
      </c>
    </row>
    <row r="25" spans="1:2" x14ac:dyDescent="0.25">
      <c r="A25" t="s">
        <v>26</v>
      </c>
      <c r="B25" s="10">
        <f>1-B24</f>
        <v>0.07739596740365107</v>
      </c>
    </row>
    <row r="26" spans="1:2" x14ac:dyDescent="0.25">
      <c r="A26" t="s">
        <v>27</v>
      </c>
      <c r="B26" s="12">
        <f>B24*B20+B25*B21*(1-B8)</f>
        <v>0.10577390481657836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52017000000</v>
      </c>
      <c r="C29" s="8" t="s">
        <v>30</v>
      </c>
    </row>
    <row r="30" spans="1:2" x14ac:dyDescent="0.25">
      <c r="A30" t="s">
        <v>31</v>
      </c>
      <c r="B30" s="11">
        <v>4447000000</v>
      </c>
    </row>
    <row r="31" spans="1:2" x14ac:dyDescent="0.25">
      <c r="A31" t="s">
        <v>32</v>
      </c>
      <c r="B31" s="13">
        <v>2119689000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0.17730580736694201</v>
      </c>
      <c r="C5" s="10">
        <f>Assumptions!B6</f>
        <v>0.17730580736694201</v>
      </c>
      <c r="D5" s="10">
        <f>Assumptions!B6</f>
        <v>0.17730580736694201</v>
      </c>
      <c r="E5" s="10">
        <f>Assumptions!B6</f>
        <v>0.17730580736694201</v>
      </c>
      <c r="F5" s="10">
        <f>Assumptions!B6</f>
        <v>0.17730580736694201</v>
      </c>
    </row>
    <row r="6" spans="1:6" x14ac:dyDescent="0.25">
      <c r="A6" t="s">
        <v>43</v>
      </c>
      <c r="B6" s="18">
        <f>Assumptions!B29*(1+B5)</f>
        <v>61239916181.80622</v>
      </c>
      <c r="C6" s="18">
        <f>B6*(1+C5)</f>
        <v>72098108963.50523</v>
      </c>
      <c r="D6" s="18">
        <f>C6*(1+D5)</f>
        <v>84881522382.90929</v>
      </c>
      <c r="E6" s="18">
        <f>D6*(1+E5)</f>
        <v>99931509239.54617</v>
      </c>
      <c r="F6" s="18">
        <f>E6*(1+F5)</f>
        <v>117649946166.66093</v>
      </c>
    </row>
    <row r="7" spans="1:6" x14ac:dyDescent="0.25">
      <c r="A7" t="s">
        <v>5</v>
      </c>
      <c r="B7" s="10">
        <f>Assumptions!B7</f>
        <v>0.03573317247753318</v>
      </c>
      <c r="C7" s="10">
        <f>Assumptions!B7</f>
        <v>0.03573317247753318</v>
      </c>
      <c r="D7" s="10">
        <f>Assumptions!B7</f>
        <v>0.03573317247753318</v>
      </c>
      <c r="E7" s="10">
        <f>Assumptions!B7</f>
        <v>0.03573317247753318</v>
      </c>
      <c r="F7" s="10">
        <f>Assumptions!B7</f>
        <v>0.03573317247753318</v>
      </c>
    </row>
    <row r="8" spans="1:6" x14ac:dyDescent="0.25">
      <c r="A8" t="s">
        <v>44</v>
      </c>
      <c r="B8" s="18">
        <f>B6*B7</f>
        <v>2188296487.434157</v>
      </c>
      <c r="C8" s="18">
        <f>C6*C7</f>
        <v>2576294162.8969135</v>
      </c>
      <c r="D8" s="18">
        <f>D6*D7</f>
        <v>3033086079.464091</v>
      </c>
      <c r="E8" s="18">
        <f>E6*E7</f>
        <v>3570869855.596904</v>
      </c>
      <c r="F8" s="18">
        <f>F6*F7</f>
        <v>4204005818.345789</v>
      </c>
    </row>
    <row r="9" spans="1:6" x14ac:dyDescent="0.25">
      <c r="A9" t="s">
        <v>45</v>
      </c>
      <c r="B9" s="18">
        <f>B8*(1-Assumptions!B8)</f>
        <v>1987474793.4128404</v>
      </c>
      <c r="C9" s="18">
        <f>C8*(1-Assumptions!B8)</f>
        <v>2339865616.2803507</v>
      </c>
      <c r="D9" s="18">
        <f>D8*(1-Assumptions!B8)</f>
        <v>2754737378.5050855</v>
      </c>
      <c r="E9" s="18">
        <f>E8*(1-Assumptions!B8)</f>
        <v>3243168313.4848228</v>
      </c>
      <c r="F9" s="18">
        <f>F8*(1-Assumptions!B8)</f>
        <v>3818200889.7341332</v>
      </c>
    </row>
    <row r="10" spans="1:6" x14ac:dyDescent="0.25">
      <c r="A10" t="s">
        <v>46</v>
      </c>
      <c r="B10" s="18">
        <f>B6*Assumptions!B9</f>
        <v>1269237022.2594278</v>
      </c>
      <c r="C10" s="18">
        <f>C6*Assumptions!B9</f>
        <v>1494280117.231149</v>
      </c>
      <c r="D10" s="18">
        <f>D6*Assumptions!B9</f>
        <v>1759224659.8491867</v>
      </c>
      <c r="E10" s="18">
        <f>E6*Assumptions!B9</f>
        <v>2071145408.5035806</v>
      </c>
      <c r="F10" s="18">
        <f>F6*Assumptions!B9</f>
        <v>2438371517.332643</v>
      </c>
    </row>
    <row r="11" spans="1:6" x14ac:dyDescent="0.25">
      <c r="A11" t="s">
        <v>47</v>
      </c>
      <c r="B11" s="18">
        <f>-B6*Assumptions!B10</f>
        <v>-1269237022.2594278</v>
      </c>
      <c r="C11" s="18">
        <f>-C6*Assumptions!B10</f>
        <v>-1494280117.231149</v>
      </c>
      <c r="D11" s="18">
        <f>-D6*Assumptions!B10</f>
        <v>-1759224659.8491867</v>
      </c>
      <c r="E11" s="18">
        <f>-E6*Assumptions!B10</f>
        <v>-2071145408.5035806</v>
      </c>
      <c r="F11" s="18">
        <f>-F6*Assumptions!B10</f>
        <v>-2438371517.332643</v>
      </c>
    </row>
    <row r="12" spans="1:6" x14ac:dyDescent="0.25">
      <c r="A12" t="s">
        <v>48</v>
      </c>
      <c r="B12" s="18">
        <f>-(B6-Assumptions!B29)*Assumptions!B11</f>
        <v>2554973794.8603625</v>
      </c>
      <c r="C12" s="18">
        <f>-(C6-B6)*Assumptions!B11</f>
        <v>3007985486.3594604</v>
      </c>
      <c r="D12" s="18">
        <f>-(D6-C6)*Assumptions!B11</f>
        <v>3541318781.566467</v>
      </c>
      <c r="E12" s="18">
        <f>-(E6-D6)*Assumptions!B11</f>
        <v>4169215167.275824</v>
      </c>
      <c r="F12" s="18">
        <f>-(F6-E6)*Assumptions!B11</f>
        <v>4908441228.596166</v>
      </c>
    </row>
    <row r="13" spans="1:6" x14ac:dyDescent="0.25">
      <c r="A13" s="19" t="s">
        <v>49</v>
      </c>
      <c r="B13" s="20">
        <f>B9+B10+B11+B12</f>
        <v>4542448588.273203</v>
      </c>
      <c r="C13" s="20">
        <f>C9+C10+C11+C12</f>
        <v>5347851102.639811</v>
      </c>
      <c r="D13" s="20">
        <f>D9+D10+D11+D12</f>
        <v>6296056160.071552</v>
      </c>
      <c r="E13" s="20">
        <f>E9+E10+E11+E12</f>
        <v>7412383480.760647</v>
      </c>
      <c r="F13" s="20">
        <f>F9+F10+F11+F12</f>
        <v>8726642118.3303</v>
      </c>
    </row>
    <row r="14" spans="1:6" x14ac:dyDescent="0.25">
      <c r="A14" t="s">
        <v>50</v>
      </c>
      <c r="B14" s="21">
        <f>1/(1+Assumptions!$B$26)^(1-0.5*Assumptions!$B$32)</f>
        <v>0.9509700328911032</v>
      </c>
      <c r="C14" s="21">
        <f>1/(1+Assumptions!$B$26)^(2-0.5*Assumptions!$B$32)</f>
        <v>0.8600040467122855</v>
      </c>
      <c r="D14" s="21">
        <f>1/(1+Assumptions!$B$26)^(3-0.5*Assumptions!$B$32)</f>
        <v>0.777739502592928</v>
      </c>
      <c r="E14" s="21">
        <f>1/(1+Assumptions!$B$26)^(4-0.5*Assumptions!$B$32)</f>
        <v>0.7033440554214712</v>
      </c>
      <c r="F14" s="21">
        <f>1/(1+Assumptions!$B$26)^(5-0.5*Assumptions!$B$32)</f>
        <v>0.636064978887469</v>
      </c>
    </row>
    <row r="15" spans="1:6" x14ac:dyDescent="0.25">
      <c r="A15" s="19" t="s">
        <v>51</v>
      </c>
      <c r="B15" s="20">
        <f>B13*B14</f>
        <v>4319732483.396313</v>
      </c>
      <c r="C15" s="20">
        <f>C13*C14</f>
        <v>4599173589.484995</v>
      </c>
      <c r="D15" s="20">
        <f>D13*D14</f>
        <v>4896691586.23119</v>
      </c>
      <c r="E15" s="20">
        <f>E13*E14</f>
        <v>5213455857.697313</v>
      </c>
      <c r="F15" s="20">
        <f>F13*F14</f>
        <v>5550711434.75426</v>
      </c>
    </row>
    <row r="17" spans="1:2" x14ac:dyDescent="0.25">
      <c r="A17" s="22" t="s">
        <v>52</v>
      </c>
      <c r="B17" s="23">
        <f>SUM(B15:F15)</f>
        <v>24579764951.56407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8726642118.3303</v>
      </c>
    </row>
    <row r="5" spans="1:2" x14ac:dyDescent="0.25">
      <c r="A5" t="s">
        <v>56</v>
      </c>
      <c r="B5" s="18">
        <f>IF(Assumptions!$B$33=0,B4,B4-Forecast!F11-Forecast!F10-Forecast!F12)</f>
        <v>3818200889.7341332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0.23635319168137256</v>
      </c>
    </row>
    <row r="7" spans="1:2" x14ac:dyDescent="0.25">
      <c r="A7" t="s">
        <v>58</v>
      </c>
      <c r="B7" s="18">
        <f>-MAX(Forecast!F9,0)*B6</f>
        <v>-902443966.7693188</v>
      </c>
    </row>
    <row r="8" spans="1:2" x14ac:dyDescent="0.25">
      <c r="A8" t="s">
        <v>59</v>
      </c>
      <c r="B8" s="18">
        <f>IF(OR(Assumptions!$B$33=0,Assumptions!B12&lt;=0),B5,MAX(B5+B7,0))</f>
        <v>2915756922.964814</v>
      </c>
    </row>
    <row r="9" spans="1:2" x14ac:dyDescent="0.25">
      <c r="A9" t="s">
        <v>60</v>
      </c>
      <c r="B9" s="18">
        <f>B8*(1+Assumptions!B12)/(Assumptions!B26-Assumptions!B12)</f>
        <v>37000202637.54206</v>
      </c>
    </row>
    <row r="10" spans="1:2" x14ac:dyDescent="0.25">
      <c r="A10" t="s">
        <v>61</v>
      </c>
      <c r="B10" s="18">
        <f>B9/(1+Assumptions!B26)^(5-0.5*Assumptions!B32)</f>
        <v>23534533109.480267</v>
      </c>
    </row>
    <row r="11" spans="1:2" x14ac:dyDescent="0.25">
      <c r="A11" t="s">
        <v>62</v>
      </c>
      <c r="B11" s="18">
        <f>Forecast!B17+B10</f>
        <v>48114298061.04434</v>
      </c>
    </row>
    <row r="12" spans="1:2" x14ac:dyDescent="0.25">
      <c r="A12" t="s">
        <v>63</v>
      </c>
      <c r="B12" s="18">
        <f>-Assumptions!B30</f>
        <v>-4447000000</v>
      </c>
    </row>
    <row r="13" spans="1:2" x14ac:dyDescent="0.25">
      <c r="A13" t="s">
        <v>64</v>
      </c>
      <c r="B13" s="18">
        <f>B11+B12</f>
        <v>43667298061.04434</v>
      </c>
    </row>
    <row r="14" spans="1:2" x14ac:dyDescent="0.25">
      <c r="A14" s="19" t="s">
        <v>65</v>
      </c>
      <c r="B14" s="24">
        <f>B13/Assumptions!B31</f>
        <v>20.600804203373393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6642377335.678432</v>
      </c>
    </row>
    <row r="18" spans="1:2" x14ac:dyDescent="0.25">
      <c r="A18" t="s">
        <v>60</v>
      </c>
      <c r="B18" s="18">
        <f>B17*Assumptions!B13</f>
        <v>132847546713.56865</v>
      </c>
    </row>
    <row r="19" spans="1:2" x14ac:dyDescent="0.25">
      <c r="A19" t="s">
        <v>61</v>
      </c>
      <c r="B19" s="18">
        <f>B18/(1+Assumptions!B26)^(5-0.5*Assumptions!B32)</f>
        <v>84499671995.6181</v>
      </c>
    </row>
    <row r="20" spans="1:2" x14ac:dyDescent="0.25">
      <c r="A20" t="s">
        <v>62</v>
      </c>
      <c r="B20" s="18">
        <f>Forecast!B17+B19</f>
        <v>109079436947.18217</v>
      </c>
    </row>
    <row r="21" spans="1:2" x14ac:dyDescent="0.25">
      <c r="A21" t="s">
        <v>63</v>
      </c>
      <c r="B21" s="18">
        <f>-Assumptions!B30</f>
        <v>-4447000000</v>
      </c>
    </row>
    <row r="22" spans="1:2" x14ac:dyDescent="0.25">
      <c r="A22" t="s">
        <v>64</v>
      </c>
      <c r="B22" s="18">
        <f>B20+B21</f>
        <v>104632436947.18217</v>
      </c>
    </row>
    <row r="23" spans="1:2" x14ac:dyDescent="0.25">
      <c r="A23" s="19" t="s">
        <v>65</v>
      </c>
      <c r="B23" s="25">
        <f>B22/Assumptions!B31</f>
        <v>49.36216442467842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70.5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20.600804203373393</v>
      </c>
    </row>
    <row r="29" spans="1:2" x14ac:dyDescent="0.25">
      <c r="A29" s="19" t="s">
        <v>73</v>
      </c>
      <c r="B29" s="12">
        <f>B28/B26-1</f>
        <v>-0.7077900112996682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0.085774</v>
      </c>
      <c r="B5" s="31">
        <v>24.789860308859403</v>
      </c>
      <c r="C5" s="31">
        <v>24.862366234136523</v>
      </c>
      <c r="D5" s="31">
        <v>24.934872159413636</v>
      </c>
      <c r="E5" s="31">
        <v>25.007378084690757</v>
      </c>
      <c r="F5" s="31">
        <v>25.079884009967877</v>
      </c>
    </row>
    <row r="6" spans="1:6" x14ac:dyDescent="0.25">
      <c r="A6" s="30">
        <v>0.095774</v>
      </c>
      <c r="B6" s="31">
        <v>22.427948887399758</v>
      </c>
      <c r="C6" s="31">
        <v>22.490259862128003</v>
      </c>
      <c r="D6" s="31">
        <v>22.552570836856244</v>
      </c>
      <c r="E6" s="31">
        <v>22.614881811584493</v>
      </c>
      <c r="F6" s="31">
        <v>22.677192786312734</v>
      </c>
    </row>
    <row r="7" spans="1:6" x14ac:dyDescent="0.25">
      <c r="A7" s="30">
        <v>0.105774</v>
      </c>
      <c r="B7" s="31">
        <v>20.492467200110706</v>
      </c>
      <c r="C7" s="31">
        <v>20.546627245644213</v>
      </c>
      <c r="D7" s="32">
        <v>20.600787291177717</v>
      </c>
      <c r="E7" s="31">
        <v>20.654947336711228</v>
      </c>
      <c r="F7" s="31">
        <v>20.709107382244735</v>
      </c>
    </row>
    <row r="8" spans="1:6" x14ac:dyDescent="0.25">
      <c r="A8" s="30">
        <v>0.115774</v>
      </c>
      <c r="B8" s="31">
        <v>18.874079028097885</v>
      </c>
      <c r="C8" s="31">
        <v>18.92159641251987</v>
      </c>
      <c r="D8" s="31">
        <v>18.969113796941855</v>
      </c>
      <c r="E8" s="31">
        <v>19.01663118136384</v>
      </c>
      <c r="F8" s="31">
        <v>19.06414856578583</v>
      </c>
    </row>
    <row r="9" spans="1:6" x14ac:dyDescent="0.25">
      <c r="A9" s="30">
        <v>0.125774</v>
      </c>
      <c r="B9" s="31">
        <v>17.498145937259398</v>
      </c>
      <c r="C9" s="31">
        <v>17.540163929383134</v>
      </c>
      <c r="D9" s="31">
        <v>17.58218192150686</v>
      </c>
      <c r="E9" s="31">
        <v>17.624199913630587</v>
      </c>
      <c r="F9" s="31">
        <v>17.666217905754323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52017000000</v>
      </c>
      <c r="C5" s="18">
        <v>43978000000</v>
      </c>
      <c r="D5" s="18">
        <v>37281000000</v>
      </c>
      <c r="E5" s="18">
        <v>31877000000</v>
      </c>
      <c r="F5" s="8" t="s">
        <v>84</v>
      </c>
    </row>
    <row r="6" spans="1:6" x14ac:dyDescent="0.25">
      <c r="A6" t="s">
        <v>44</v>
      </c>
      <c r="B6" s="18">
        <v>5565000000</v>
      </c>
      <c r="C6" s="18">
        <v>2799000000</v>
      </c>
      <c r="D6" s="18">
        <v>1110000000</v>
      </c>
      <c r="E6" s="18">
        <v>-1832000000</v>
      </c>
      <c r="F6" s="8" t="s">
        <v>85</v>
      </c>
    </row>
    <row r="7" spans="1:6" x14ac:dyDescent="0.25">
      <c r="A7" t="s">
        <v>86</v>
      </c>
      <c r="B7" s="18">
        <v>747000000</v>
      </c>
      <c r="C7" s="18">
        <v>737000000</v>
      </c>
      <c r="D7" s="18">
        <v>823000000</v>
      </c>
      <c r="E7" s="18">
        <v>947000000</v>
      </c>
      <c r="F7" s="8" t="s">
        <v>87</v>
      </c>
    </row>
    <row r="8" spans="1:6" x14ac:dyDescent="0.25">
      <c r="A8" t="s">
        <v>88</v>
      </c>
      <c r="B8" s="18">
        <v>336000000</v>
      </c>
      <c r="C8" s="18">
        <v>242000000</v>
      </c>
      <c r="D8" s="18">
        <v>223000000</v>
      </c>
      <c r="E8" s="18">
        <v>252000000</v>
      </c>
      <c r="F8" s="8" t="s">
        <v>89</v>
      </c>
    </row>
    <row r="9" spans="1:6" x14ac:dyDescent="0.25">
      <c r="A9" t="s">
        <v>90</v>
      </c>
      <c r="B9" s="18">
        <v>-2227000000</v>
      </c>
      <c r="C9" s="18">
        <v>-2374000000</v>
      </c>
      <c r="D9" s="18">
        <v>-165000000</v>
      </c>
      <c r="E9" s="18">
        <v>-335000000</v>
      </c>
      <c r="F9" s="8" t="s">
        <v>91</v>
      </c>
    </row>
    <row r="10" spans="1:6" x14ac:dyDescent="0.25">
      <c r="A10" t="s">
        <v>92</v>
      </c>
      <c r="B10" s="18">
        <v>12080000000</v>
      </c>
      <c r="C10" s="18">
        <v>11126000000</v>
      </c>
      <c r="D10" s="18">
        <v>11224000000</v>
      </c>
      <c r="E10" s="18">
        <v>11139000000</v>
      </c>
      <c r="F10" s="8" t="s">
        <v>93</v>
      </c>
    </row>
    <row r="11" spans="1:6" x14ac:dyDescent="0.25">
      <c r="A11" t="s">
        <v>94</v>
      </c>
      <c r="B11" s="18">
        <v>7633000000</v>
      </c>
      <c r="C11" s="18">
        <v>6977000000</v>
      </c>
      <c r="D11" s="18">
        <v>5407000000</v>
      </c>
      <c r="E11" s="18">
        <v>4311000000</v>
      </c>
      <c r="F11" s="8" t="s">
        <v>95</v>
      </c>
    </row>
    <row r="12" spans="1:6" x14ac:dyDescent="0.25">
      <c r="A12" t="s">
        <v>32</v>
      </c>
      <c r="B12" s="34">
        <v>2119689000</v>
      </c>
      <c r="C12" s="34">
        <v>2150508000</v>
      </c>
      <c r="D12" s="34">
        <v>2091782000</v>
      </c>
      <c r="E12" s="34">
        <v>1974928000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2026-09-19T01:04:52Z</dcterms:modified>
</cp:coreProperties>
</file>