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<sst xmlns="http://schemas.openxmlformats.org/spreadsheetml/2006/main" count="121" uniqueCount="108">
  <si>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Uber Technologies, Inc. (UBER)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</si>
  <si>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</si>
  <si>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</si>
  <si>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</si>
  <si>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</si>
  <si>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</si>
  <si>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</si>
  <si>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</si>
  <si>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</si>
  <si>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</si>
  <si>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</si>
  <si>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</si>
  <si>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</si>
  <si>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</si>
  <si>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</si>
  <si>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</si>
  <si>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</si>
  <si>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</si>
  <si>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</si>
  <si>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</si>
  <si>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</si>
  <si>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</si>
  <si>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</si>
  <si>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</si>
  <si>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12.6x interest cover. Book interest / average debt was lower, at 3.8%.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</si>
  <si>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</si>
  <si>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</si>
  <si>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</si>
  <si>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</si>
  <si>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</si>
  <si>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</si>
  <si>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</si>
  <si>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</si>
  <si>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</si>
  <si>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</si>
  <si>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</si>
  <si>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</si>
  <si>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</si>
  <si>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</si>
  <si>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</si>
  <si>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</si>
  <si>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</si>
  <si>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</si>
  <si>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</si>
  <si>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</si>
  <si>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</si>
  <si>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</si>
  <si>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</si>
  <si>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</si>
  <si>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</si>
  <si>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</si>
  <si>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</si>
  <si>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</si>
  <si>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</si>
  <si>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</si>
  <si>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</si>
  <si>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</si>
  <si>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</si>
  <si>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</si>
  <si>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</si>
  <si>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</si>
  <si>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</si>
  <si>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</si>
  <si>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</si>
  <si>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</si>
  <si>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</si>
  <si>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</si>
  <si>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</si>
  <si>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</si>
  <si>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</si>
  <si>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</si>
  <si>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</si>
  <si>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</si>
  <si>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</si>
  <si>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</si>
  <si>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</si>
  <si>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</si>
  <si>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</si>
  <si>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</si>
  <si>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</si>
  <si>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</si>
  <si>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</si>
  <si>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</si>
  <si>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</si>
  <si>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</si>
  <si>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</si>
  <si>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</si>
  <si>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</si>
  <si>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</si>
  <si>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</si>
  <si>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</si>
  <si>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</si>
  <si>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</si>
  <si>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</si>
  <si>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</si>
  <si>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</si>
  <si>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</si>
  <si>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</si>
  <si>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</si>
  <si>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</si>
  <si>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</si>
  <si>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</si>
  <si>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</si>
  <si>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</si>
  <si>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</si>
  <si>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0.65% of revenue, which is too low to be the company's real investment - property trusts and similar structures invest through lines that are not reported as capex. Capex has been set to 2.07%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</si>
  <si>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21.8x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</si>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</sst>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0.11271714401061184</v>
      </c>
    </row>
    <row r="7" spans="1:2" x14ac:dyDescent="0.25">
      <c r="A7" t="s">
        <v>4</v>
      </c>
      <c r="B7" s="5">
        <v>0.03573317247753318</v>
      </c>
    </row>
    <row r="8" spans="1:2" x14ac:dyDescent="0.25">
      <c r="A8" t="s">
        <v>5</v>
      </c>
      <c r="B8" s="5">
        <v>0.09177078845325291</v>
      </c>
    </row>
    <row r="9" spans="1:2" x14ac:dyDescent="0.25">
      <c r="A9" t="s">
        <v>6</v>
      </c>
      <c r="B9" s="5">
        <v>0.020725649239809144</v>
      </c>
    </row>
    <row r="10" spans="1:3" x14ac:dyDescent="0.25">
      <c r="A10" t="s">
        <v>7</v>
      </c>
      <c r="B10" s="5">
        <v>0.020725649239809144</v>
      </c>
      <c r="C10" s="6" t="s">
        <v>8</v>
      </c>
    </row>
    <row r="11" spans="1:2" x14ac:dyDescent="0.25">
      <c r="A11" t="s">
        <v>9</v>
      </c>
      <c r="B11" s="5">
        <v>0.060309600011286504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0.09453950609601068</v>
      </c>
      <c r="C14" s="6" t="s">
        <v>13</v>
      </c>
    </row>
    <row r="15" spans="1:3" x14ac:dyDescent="0.25">
      <c r="A15" t="s">
        <v>14</v>
      </c>
      <c r="B15" s="5">
        <v>0.020725649239809144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1.17755</v>
      </c>
      <c r="C19" s="6" t="s">
        <v>21</v>
      </c>
    </row>
    <row r="20" spans="1:2" x14ac:dyDescent="0.25">
      <c r="A20" t="s">
        <v>22</v>
      </c>
      <c r="B20" s="9">
        <f>B17+B19*B18</f>
        <v>0.098750365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133277048832</v>
      </c>
    </row>
    <row r="23" spans="1:2" x14ac:dyDescent="0.25">
      <c r="A23" t="s">
        <v>26</v>
      </c>
      <c r="B23" s="10">
        <v>12080000000</v>
      </c>
    </row>
    <row r="24" spans="1:2" x14ac:dyDescent="0.25">
      <c r="A24" t="s">
        <v>27</v>
      </c>
      <c r="B24" s="9">
        <f>B22/(B22+B23)</f>
        <v>0.9168942951369234</v>
      </c>
    </row>
    <row r="25" spans="1:2" x14ac:dyDescent="0.25">
      <c r="A25" t="s">
        <v>28</v>
      </c>
      <c r="B25" s="9">
        <f>1-B24</f>
        <v>0.08310570486307656</v>
      </c>
    </row>
    <row r="26" spans="1:2" x14ac:dyDescent="0.25">
      <c r="A26" t="s">
        <v>29</v>
      </c>
      <c r="B26" s="11">
        <f>B24*B20+B25*B21*(1-B8)</f>
        <v>0.09453950609601068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52017000000</v>
      </c>
      <c r="C29" s="6" t="s">
        <v>32</v>
      </c>
    </row>
    <row r="30" spans="1:2" x14ac:dyDescent="0.25">
      <c r="A30" t="s">
        <v>33</v>
      </c>
      <c r="B30" s="10">
        <v>4447000000</v>
      </c>
    </row>
    <row r="31" spans="1:2" x14ac:dyDescent="0.25">
      <c r="A31" t="s">
        <v>34</v>
      </c>
      <c r="B31" s="12">
        <v>2119689000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0.11271714401061184</v>
      </c>
      <c r="C5" s="5">
        <v>0.1533901603996457</v>
      </c>
      <c r="D5" s="5">
        <v>0.13734139034968998</v>
      </c>
      <c r="E5" s="5">
        <v>0.12129262029973428</v>
      </c>
      <c r="F5" s="5">
        <v>0.10524385024977856</v>
      </c>
      <c r="G5" s="5">
        <v>0.08919508019982285</v>
      </c>
      <c r="H5" s="5">
        <v>0.07314631014986714</v>
      </c>
      <c r="I5" s="5">
        <v>0.057097540099911415</v>
      </c>
      <c r="J5" s="5">
        <v>0.041048770049955705</v>
      </c>
      <c r="K5" s="5">
        <v>0.024999999999999994</v>
      </c>
    </row>
    <row r="6" spans="1:11" x14ac:dyDescent="0.25">
      <c r="A6" t="s">
        <v>50</v>
      </c>
      <c r="B6" s="18">
        <f>Assumptions!B29*(1+B5)</f>
        <v>57880207679.99999</v>
      </c>
      <c r="C6" s="18">
        <f>B6*(1+C5)</f>
        <v>66758462020</v>
      </c>
      <c r="D6" s="18">
        <f>C6*(1+D5)</f>
        <v>75927162011.43378</v>
      </c>
      <c r="E6" s="18">
        <f>D6*(1+E5)</f>
        <v>85136566443.72302</v>
      </c>
      <c r="F6" s="18">
        <f>E6*(1+F5)</f>
        <v>94096666493.30653</v>
      </c>
      <c r="G6" s="18">
        <f>F6*(1+G5)</f>
        <v>102489626207.713</v>
      </c>
      <c r="H6" s="18">
        <f>G6*(1+H5)</f>
        <v>109986364193.44632</v>
      </c>
      <c r="I6" s="18">
        <f>H6*(1+I5)</f>
        <v>116266315033.42508</v>
      </c>
      <c r="J6" s="18">
        <f>I6*(1+J5)</f>
        <v>121038904263.78786</v>
      </c>
      <c r="K6" s="18">
        <f>J6*(1+K5)</f>
        <v>124064876870.38254</v>
      </c>
    </row>
    <row r="7" spans="1:11" x14ac:dyDescent="0.25">
      <c r="A7" t="s">
        <v>4</v>
      </c>
      <c r="B7" s="9">
        <f>Assumptions!B7</f>
        <v>0.03573317247753318</v>
      </c>
      <c r="C7" s="9">
        <f>Assumptions!B7</f>
        <v>0.03573317247753318</v>
      </c>
      <c r="D7" s="9">
        <f>Assumptions!B7</f>
        <v>0.03573317247753318</v>
      </c>
      <c r="E7" s="9">
        <f>Assumptions!B7</f>
        <v>0.03573317247753318</v>
      </c>
      <c r="F7" s="9">
        <f>Assumptions!B7</f>
        <v>0.03573317247753318</v>
      </c>
      <c r="G7" s="9">
        <f>Assumptions!B7</f>
        <v>0.03573317247753318</v>
      </c>
      <c r="H7" s="9">
        <f>Assumptions!B7</f>
        <v>0.03573317247753318</v>
      </c>
      <c r="I7" s="9">
        <f>Assumptions!B7</f>
        <v>0.03573317247753318</v>
      </c>
      <c r="J7" s="9">
        <f>Assumptions!B7</f>
        <v>0.03573317247753318</v>
      </c>
      <c r="K7" s="9">
        <f>Assumptions!B7</f>
        <v>0.03573317247753318</v>
      </c>
    </row>
    <row r="8" spans="1:11" x14ac:dyDescent="0.25">
      <c r="A8" t="s">
        <v>51</v>
      </c>
      <c r="B8" s="18">
        <f>B6*B7</f>
        <v>2068243444.0648804</v>
      </c>
      <c r="C8" s="18">
        <f>C6*C7</f>
        <v>2385491637.695508</v>
      </c>
      <c r="D8" s="18">
        <f>D6*D7</f>
        <v>2713118375.884168</v>
      </c>
      <c r="E8" s="18">
        <f>E6*E7</f>
        <v>3042199612.8785186</v>
      </c>
      <c r="F8" s="18">
        <f>F6*F7</f>
        <v>3362372413.3662395</v>
      </c>
      <c r="G8" s="18">
        <f>G6*G7</f>
        <v>3662279490.438113</v>
      </c>
      <c r="H8" s="18">
        <f>H6*H7</f>
        <v>3930161721.901197</v>
      </c>
      <c r="I8" s="18">
        <f>I6*I7</f>
        <v>4154564288.4165874</v>
      </c>
      <c r="J8" s="18">
        <f>J6*J7</f>
        <v>4325104042.549558</v>
      </c>
      <c r="K8" s="18">
        <f>K6*K7</f>
        <v>4433231643.6132965</v>
      </c>
    </row>
    <row r="9" spans="1:11" x14ac:dyDescent="0.25">
      <c r="A9" t="s">
        <v>52</v>
      </c>
      <c r="B9" s="18">
        <f>B8*(1-Assumptions!B8)</f>
        <v>1878439112.489775</v>
      </c>
      <c r="C9" s="18">
        <f>C8*(1-Assumptions!B8)</f>
        <v>2166573189.2555494</v>
      </c>
      <c r="D9" s="18">
        <f>D8*(1-Assumptions!B8)</f>
        <v>2464133363.362269</v>
      </c>
      <c r="E9" s="18">
        <f>E8*(1-Assumptions!B8)</f>
        <v>2763014555.772476</v>
      </c>
      <c r="F9" s="18">
        <f>F8*(1-Assumptions!B8)</f>
        <v>3053804845.918153</v>
      </c>
      <c r="G9" s="18">
        <f>G8*(1-Assumptions!B8)</f>
        <v>3326189214.06443</v>
      </c>
      <c r="H9" s="18">
        <f>H8*(1-Assumptions!B8)</f>
        <v>3569487681.93353</v>
      </c>
      <c r="I9" s="18">
        <f>I8*(1-Assumptions!B8)</f>
        <v>3773296647.9888697</v>
      </c>
      <c r="J9" s="18">
        <f>J8*(1-Assumptions!B8)</f>
        <v>3928185834.4224334</v>
      </c>
      <c r="K9" s="18">
        <f>K8*(1-Assumptions!B8)</f>
        <v>4026390480.282994</v>
      </c>
    </row>
    <row r="10" spans="1:11" x14ac:dyDescent="0.25">
      <c r="A10" t="s">
        <v>53</v>
      </c>
      <c r="B10" s="18">
        <f>B6*Assumptions!B9</f>
        <v>1199604882.302987</v>
      </c>
      <c r="C10" s="18">
        <f>C6*Assumptions!B9</f>
        <v>1383612467.6156406</v>
      </c>
      <c r="D10" s="18">
        <f>D6*Assumptions!B9</f>
        <v>1573639727.6231382</v>
      </c>
      <c r="E10" s="18">
        <f>E6*Assumptions!B9</f>
        <v>1764510613.5943086</v>
      </c>
      <c r="F10" s="18">
        <f>F6*Assumptions!B9</f>
        <v>1950214504.3755732</v>
      </c>
      <c r="G10" s="18">
        <f>G6*Assumptions!B9</f>
        <v>2124164043.50021</v>
      </c>
      <c r="H10" s="18">
        <f>H6*Assumptions!B9</f>
        <v>2279538805.435272</v>
      </c>
      <c r="I10" s="18">
        <f>I6*Assumptions!B9</f>
        <v>2409694863.7879167</v>
      </c>
      <c r="J10" s="18">
        <f>J6*Assumptions!B9</f>
        <v>2508609874.1421065</v>
      </c>
      <c r="K10" s="18">
        <f>K6*Assumptions!B9</f>
        <v>2571325120.995659</v>
      </c>
    </row>
    <row r="11" spans="1:11" x14ac:dyDescent="0.25">
      <c r="A11" t="s">
        <v>54</v>
      </c>
      <c r="B11" s="18">
        <f>-B6*B19</f>
        <v>-1199604882.302987</v>
      </c>
      <c r="C11" s="18">
        <f>-C6*C19</f>
        <v>-1447271133.7919931</v>
      </c>
      <c r="D11" s="18">
        <f>-D6*D19</f>
        <v>-1718442999.4167776</v>
      </c>
      <c r="E11" s="18">
        <f>-E6*E19</f>
        <v>-2008060873.6805055</v>
      </c>
      <c r="F11" s="18">
        <f>-F6*F19</f>
        <v>-2309124407.2915773</v>
      </c>
      <c r="G11" s="18">
        <f>-G6*G19</f>
        <v>-2612817669.1140943</v>
      </c>
      <c r="H11" s="18">
        <f>-H6*H19</f>
        <v>-2908815007.757946</v>
      </c>
      <c r="I11" s="18">
        <f>-I6*I19</f>
        <v>-3185768910.2264147</v>
      </c>
      <c r="J11" s="18">
        <f>-J6*J19</f>
        <v>-3431959510.156381</v>
      </c>
      <c r="K11" s="18">
        <f>-K6*K19</f>
        <v>-3636062670.024619</v>
      </c>
    </row>
    <row r="12" spans="1:11" x14ac:dyDescent="0.25">
      <c r="A12" t="s">
        <v>55</v>
      </c>
      <c r="B12" s="18">
        <f>-(B6-Assumptions!B29)*Assumptions!B11</f>
        <v>-353607709.96390265</v>
      </c>
      <c r="C12" s="18">
        <f>-(C6-B6)*Assumptions!B11</f>
        <v>-535443968.0438689</v>
      </c>
      <c r="D12" s="18">
        <f>-(D6-C6)*Assumptions!B11</f>
        <v>-552960629.1068571</v>
      </c>
      <c r="E12" s="18">
        <f>-(E6-D6)*Assumptions!B11</f>
        <v>-555415497.6535335</v>
      </c>
      <c r="F12" s="18">
        <f>-(F6-E6)*Assumptions!B11</f>
        <v>-540380050.05149</v>
      </c>
      <c r="G12" s="18">
        <f>-(G6-F6)*Assumptions!B11</f>
        <v>-506176043.28669524</v>
      </c>
      <c r="H12" s="18">
        <f>-(H6-G6)*Assumptions!B11</f>
        <v>-452125269.30899435</v>
      </c>
      <c r="I12" s="18">
        <f>-(I6-H6)*Assumptions!B11</f>
        <v>-378741323.2496617</v>
      </c>
      <c r="J12" s="18">
        <f>-(J6-I6)*Assumptions!B11</f>
        <v>-287832947.50135285</v>
      </c>
      <c r="K12" s="18">
        <f>-(K6-J6)*Assumptions!B11</f>
        <v>-182495197.54883522</v>
      </c>
    </row>
    <row r="13" spans="1:11" x14ac:dyDescent="0.25">
      <c r="A13" s="19" t="s">
        <v>56</v>
      </c>
      <c r="B13" s="20">
        <f>B9+B10+B11+B12</f>
        <v>1524831402.525872</v>
      </c>
      <c r="C13" s="20">
        <f>C9+C10+C11+C12</f>
        <v>1567470555.035328</v>
      </c>
      <c r="D13" s="20">
        <f>D9+D10+D11+D12</f>
        <v>1766369462.4617722</v>
      </c>
      <c r="E13" s="20">
        <f>E9+E10+E11+E12</f>
        <v>1964048798.0327458</v>
      </c>
      <c r="F13" s="20">
        <f>F9+F10+F11+F12</f>
        <v>2154514892.950659</v>
      </c>
      <c r="G13" s="20">
        <f>G9+G10+G11+G12</f>
        <v>2331359545.163851</v>
      </c>
      <c r="H13" s="20">
        <f>H9+H10+H11+H12</f>
        <v>2488086210.301862</v>
      </c>
      <c r="I13" s="20">
        <f>I9+I10+I11+I12</f>
        <v>2618481278.3007107</v>
      </c>
      <c r="J13" s="20">
        <f>J9+J10+J11+J12</f>
        <v>2717003250.906806</v>
      </c>
      <c r="K13" s="20">
        <f>K9+K10+K11+K12</f>
        <v>2779157733.705198</v>
      </c>
    </row>
    <row r="14" spans="1:11" x14ac:dyDescent="0.25">
      <c r="A14" t="s">
        <v>57</v>
      </c>
      <c r="B14" s="21">
        <f>1/(1+Assumptions!$B$26)^(1-0.5*Assumptions!$B$32)</f>
        <v>0.9558379714569188</v>
      </c>
      <c r="C14" s="21">
        <f>1/(1+Assumptions!$B$26)^(2-0.5*Assumptions!$B$32)</f>
        <v>0.8732786401344154</v>
      </c>
      <c r="D14" s="21">
        <f>1/(1+Assumptions!$B$26)^(3-0.5*Assumptions!$B$32)</f>
        <v>0.7978502696985461</v>
      </c>
      <c r="E14" s="21">
        <f>1/(1+Assumptions!$B$26)^(4-0.5*Assumptions!$B$32)</f>
        <v>0.7289369321572577</v>
      </c>
      <c r="F14" s="21">
        <f>1/(1+Assumptions!$B$26)^(5-0.5*Assumptions!$B$32)</f>
        <v>0.6659758995426492</v>
      </c>
      <c r="G14" s="21">
        <f>1/(1+Assumptions!$B$26)^(6-0.5*Assumptions!$B$32)</f>
        <v>0.6084530488241978</v>
      </c>
      <c r="H14" s="21">
        <f>1/(1+Assumptions!$B$26)^(7-0.5*Assumptions!$B$32)</f>
        <v>0.5558986637169638</v>
      </c>
      <c r="I14" s="21">
        <f>1/(1+Assumptions!$B$26)^(8-0.5*Assumptions!$B$32)</f>
        <v>0.5078835991034586</v>
      </c>
      <c r="J14" s="21">
        <f>1/(1+Assumptions!$B$26)^(9-0.5*Assumptions!$B$32)</f>
        <v>0.4640157767488643</v>
      </c>
      <c r="K14" s="21">
        <f>1/(1+Assumptions!$B$26)^(10-0.5*Assumptions!$B$32)</f>
        <v>0.42393698369454913</v>
      </c>
    </row>
    <row r="15" spans="1:11" x14ac:dyDescent="0.25">
      <c r="A15" s="19" t="s">
        <v>58</v>
      </c>
      <c r="B15" s="20">
        <f>B13*B14</f>
        <v>1457491754.604138</v>
      </c>
      <c r="C15" s="20">
        <f>C13*C14</f>
        <v>1368838554.7519884</v>
      </c>
      <c r="D15" s="20">
        <f>D13*D14</f>
        <v>1409298352.0124009</v>
      </c>
      <c r="E15" s="20">
        <f>E13*E14</f>
        <v>1431667705.4451392</v>
      </c>
      <c r="F15" s="20">
        <f>F13*F14</f>
        <v>1434854993.9108496</v>
      </c>
      <c r="G15" s="20">
        <f>G13*G14</f>
        <v>1418522823.16034</v>
      </c>
      <c r="H15" s="20">
        <f>H13*H14</f>
        <v>1383123799.5194097</v>
      </c>
      <c r="I15" s="20">
        <f>I13*I14</f>
        <v>1329883695.80839</v>
      </c>
      <c r="J15" s="20">
        <f>J13*J14</f>
        <v>1260732373.898711</v>
      </c>
      <c r="K15" s="20">
        <f>K13*K14</f>
        <v>1178187746.8383605</v>
      </c>
    </row>
    <row r="17" spans="1:2" x14ac:dyDescent="0.25">
      <c r="A17" s="22" t="s">
        <v>59</v>
      </c>
      <c r="B17" s="23">
        <f>SUM(B15:K15)</f>
        <v>13672601799.949726</v>
      </c>
    </row>
    <row r="19" spans="1:11" x14ac:dyDescent="0.25">
      <c r="A19" t="s">
        <v>7</v>
      </c>
      <c r="B19" s="9">
        <f>Assumptions!$B$10+($B$20-Assumptions!$B$10)*0/9</f>
        <v>0.020725649239809144</v>
      </c>
      <c r="C19" s="9">
        <f>Assumptions!$B$10+($B$20-Assumptions!$B$10)*1/9</f>
        <v>0.021679216237162697</v>
      </c>
      <c r="D19" s="9">
        <f>Assumptions!$B$10+($B$20-Assumptions!$B$10)*2/9</f>
        <v>0.02263278323451625</v>
      </c>
      <c r="E19" s="9">
        <f>Assumptions!$B$10+($B$20-Assumptions!$B$10)*3/9</f>
        <v>0.023586350231869804</v>
      </c>
      <c r="F19" s="9">
        <f>Assumptions!$B$10+($B$20-Assumptions!$B$10)*4/9</f>
        <v>0.024539917229223357</v>
      </c>
      <c r="G19" s="9">
        <f>Assumptions!$B$10+($B$20-Assumptions!$B$10)*5/9</f>
        <v>0.025493484226576907</v>
      </c>
      <c r="H19" s="9">
        <f>Assumptions!$B$10+($B$20-Assumptions!$B$10)*6/9</f>
        <v>0.02644705122393046</v>
      </c>
      <c r="I19" s="9">
        <f>Assumptions!$B$10+($B$20-Assumptions!$B$10)*7/9</f>
        <v>0.027400618221284014</v>
      </c>
      <c r="J19" s="9">
        <f>Assumptions!$B$10+($B$20-Assumptions!$B$10)*8/9</f>
        <v>0.028354185218637567</v>
      </c>
      <c r="K19" s="9">
        <f>Assumptions!$B$10+($B$20-Assumptions!$B$10)*9/9</f>
        <v>0.02930775221599112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0.02930775221599112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2779157733.705198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4026390480.282994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0.26443971448942166</v>
      </c>
    </row>
    <row r="7" spans="1:2" x14ac:dyDescent="0.25">
      <c r="A7" t="s">
        <v>66</v>
      </c>
      <c r="B7" s="18">
        <f>-MAX(B5,0)*B6</f>
        <v>-1064737549.0289602</v>
      </c>
    </row>
    <row r="8" spans="1:2" x14ac:dyDescent="0.25">
      <c r="A8" t="s">
        <v>67</v>
      </c>
      <c r="B8" s="18">
        <f>IF(OR(Assumptions!$B$33=0,Assumptions!B12&lt;=0),B5,MAX(B5+B7,0))</f>
        <v>2961652931.2540336</v>
      </c>
    </row>
    <row r="9" spans="1:2" x14ac:dyDescent="0.25">
      <c r="A9" t="s">
        <v>68</v>
      </c>
      <c r="B9" s="18">
        <f>B8*(1+Assumptions!B12)/(Assumptions!B26-Assumptions!B12)</f>
        <v>43654239510.18736</v>
      </c>
    </row>
    <row r="10" spans="1:2" x14ac:dyDescent="0.25">
      <c r="A10" t="s">
        <v>69</v>
      </c>
      <c r="B10" s="18">
        <f>B9/(1+Assumptions!B26)^(10-0.5*Assumptions!B32)</f>
        <v>18506646623.42824</v>
      </c>
    </row>
    <row r="11" spans="1:2" x14ac:dyDescent="0.25">
      <c r="A11" t="s">
        <v>70</v>
      </c>
      <c r="B11" s="18">
        <f>Forecast!B17+B10</f>
        <v>32179248423.377968</v>
      </c>
    </row>
    <row r="12" spans="1:2" x14ac:dyDescent="0.25">
      <c r="A12" t="s">
        <v>71</v>
      </c>
      <c r="B12" s="18">
        <f>-Assumptions!B30</f>
        <v>-4447000000</v>
      </c>
    </row>
    <row r="13" spans="1:2" x14ac:dyDescent="0.25">
      <c r="A13" t="s">
        <v>72</v>
      </c>
      <c r="B13" s="18">
        <f>B11+B12</f>
        <v>27732248423.377968</v>
      </c>
    </row>
    <row r="14" spans="1:2" x14ac:dyDescent="0.25">
      <c r="A14" s="19" t="s">
        <v>73</v>
      </c>
      <c r="B14" s="24">
        <f>B13/Assumptions!B31</f>
        <v>13.083168532448848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7004556764.608955</v>
      </c>
    </row>
    <row r="18" spans="1:2" x14ac:dyDescent="0.25">
      <c r="A18" t="s">
        <v>68</v>
      </c>
      <c r="B18" s="18">
        <f>B17*Assumptions!B13</f>
        <v>140091135292.1791</v>
      </c>
    </row>
    <row r="19" spans="1:2" x14ac:dyDescent="0.25">
      <c r="A19" t="s">
        <v>69</v>
      </c>
      <c r="B19" s="18">
        <f>B18/(1+Assumptions!B26)^(10-0.5*Assumptions!B32)</f>
        <v>59389813338.11141</v>
      </c>
    </row>
    <row r="20" spans="1:2" x14ac:dyDescent="0.25">
      <c r="A20" t="s">
        <v>70</v>
      </c>
      <c r="B20" s="18">
        <f>Forecast!B17+B19</f>
        <v>73062415138.06114</v>
      </c>
    </row>
    <row r="21" spans="1:2" x14ac:dyDescent="0.25">
      <c r="A21" t="s">
        <v>71</v>
      </c>
      <c r="B21" s="18">
        <f>-Assumptions!B30</f>
        <v>-4447000000</v>
      </c>
    </row>
    <row r="22" spans="1:2" x14ac:dyDescent="0.25">
      <c r="A22" t="s">
        <v>72</v>
      </c>
      <c r="B22" s="18">
        <f>B20+B21</f>
        <v>68615415138.06114</v>
      </c>
    </row>
    <row r="23" spans="1:2" x14ac:dyDescent="0.25">
      <c r="A23" s="19" t="s">
        <v>73</v>
      </c>
      <c r="B23" s="25">
        <f>B22/Assumptions!B31</f>
        <v>32.37051055039732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65.25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13.083168532448848</v>
      </c>
    </row>
    <row r="29" spans="1:2" x14ac:dyDescent="0.25">
      <c r="A29" s="19" t="s">
        <v>81</v>
      </c>
      <c r="B29" s="11">
        <f>B28/B26-1</f>
        <v>-0.7994916700007839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0.07454</v>
      </c>
      <c r="B5" s="31">
        <v>18.737649800039428</v>
      </c>
      <c r="C5" s="31">
        <v>18.62847397678722</v>
      </c>
      <c r="D5" s="31">
        <v>18.547948583241133</v>
      </c>
      <c r="E5" s="31">
        <v>18.505722394560408</v>
      </c>
      <c r="F5" s="31">
        <v>18.51632469938896</v>
      </c>
    </row>
    <row r="6" spans="1:6" x14ac:dyDescent="0.25">
      <c r="A6" s="30">
        <v>0.08454</v>
      </c>
      <c r="B6" s="31">
        <v>15.612210895462397</v>
      </c>
      <c r="C6" s="31">
        <v>15.382560980780273</v>
      </c>
      <c r="D6" s="31">
        <v>15.152911066098147</v>
      </c>
      <c r="E6" s="31">
        <v>14.923261151416018</v>
      </c>
      <c r="F6" s="31">
        <v>14.693611236733892</v>
      </c>
    </row>
    <row r="7" spans="1:6" x14ac:dyDescent="0.25">
      <c r="A7" s="30">
        <v>0.09454</v>
      </c>
      <c r="B7" s="31">
        <v>13.471324193399244</v>
      </c>
      <c r="C7" s="31">
        <v>13.277200862002525</v>
      </c>
      <c r="D7" s="32">
        <v>13.083077530605804</v>
      </c>
      <c r="E7" s="31">
        <v>12.888954199209081</v>
      </c>
      <c r="F7" s="31">
        <v>12.694830867812364</v>
      </c>
    </row>
    <row r="8" spans="1:6" x14ac:dyDescent="0.25">
      <c r="A8" s="30">
        <v>0.10454</v>
      </c>
      <c r="B8" s="31">
        <v>11.756223132107634</v>
      </c>
      <c r="C8" s="31">
        <v>11.590135904078675</v>
      </c>
      <c r="D8" s="31">
        <v>11.424048676049711</v>
      </c>
      <c r="E8" s="31">
        <v>11.257961448020746</v>
      </c>
      <c r="F8" s="31">
        <v>11.091874219991785</v>
      </c>
    </row>
    <row r="9" spans="1:6" x14ac:dyDescent="0.25">
      <c r="A9" s="30">
        <v>0.11454</v>
      </c>
      <c r="B9" s="31">
        <v>10.354273563165144</v>
      </c>
      <c r="C9" s="31">
        <v>10.210744092313805</v>
      </c>
      <c r="D9" s="31">
        <v>10.067214621462464</v>
      </c>
      <c r="E9" s="31">
        <v>9.92368515061112</v>
      </c>
      <c r="F9" s="31">
        <v>9.780155679759783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52017000000</v>
      </c>
      <c r="C5" s="18">
        <v>43978000000</v>
      </c>
      <c r="D5" s="18">
        <v>37281000000</v>
      </c>
      <c r="E5" s="18">
        <v>31877000000</v>
      </c>
      <c r="F5" s="6" t="s">
        <v>91</v>
      </c>
    </row>
    <row r="6" spans="1:6" x14ac:dyDescent="0.25">
      <c r="A6" t="s">
        <v>51</v>
      </c>
      <c r="B6" s="18">
        <v>5565000000</v>
      </c>
      <c r="C6" s="18">
        <v>2799000000</v>
      </c>
      <c r="D6" s="18">
        <v>1110000000</v>
      </c>
      <c r="E6" s="18">
        <v>-1832000000</v>
      </c>
      <c r="F6" s="6" t="s">
        <v>92</v>
      </c>
    </row>
    <row r="7" spans="1:6" x14ac:dyDescent="0.25">
      <c r="A7" t="s">
        <v>93</v>
      </c>
      <c r="B7" s="18">
        <v>747000000</v>
      </c>
      <c r="C7" s="18">
        <v>737000000</v>
      </c>
      <c r="D7" s="18">
        <v>823000000</v>
      </c>
      <c r="E7" s="18">
        <v>947000000</v>
      </c>
      <c r="F7" s="6" t="s">
        <v>94</v>
      </c>
    </row>
    <row r="8" spans="1:6" x14ac:dyDescent="0.25">
      <c r="A8" t="s">
        <v>95</v>
      </c>
      <c r="B8" s="18">
        <v>336000000</v>
      </c>
      <c r="C8" s="18">
        <v>242000000</v>
      </c>
      <c r="D8" s="18">
        <v>223000000</v>
      </c>
      <c r="E8" s="18">
        <v>252000000</v>
      </c>
      <c r="F8" s="6" t="s">
        <v>96</v>
      </c>
    </row>
    <row r="9" spans="1:6" x14ac:dyDescent="0.25">
      <c r="A9" t="s">
        <v>97</v>
      </c>
      <c r="B9" s="18">
        <v>-2227000000</v>
      </c>
      <c r="C9" s="18">
        <v>-2374000000</v>
      </c>
      <c r="D9" s="18">
        <v>-165000000</v>
      </c>
      <c r="E9" s="18">
        <v>-335000000</v>
      </c>
      <c r="F9" s="6" t="s">
        <v>98</v>
      </c>
    </row>
    <row r="10" spans="1:6" x14ac:dyDescent="0.25">
      <c r="A10" t="s">
        <v>99</v>
      </c>
      <c r="B10" s="18">
        <v>12080000000</v>
      </c>
      <c r="C10" s="18">
        <v>11126000000</v>
      </c>
      <c r="D10" s="18">
        <v>11224000000</v>
      </c>
      <c r="E10" s="18">
        <v>11139000000</v>
      </c>
      <c r="F10" s="6" t="s">
        <v>100</v>
      </c>
    </row>
    <row r="11" spans="1:6" x14ac:dyDescent="0.25">
      <c r="A11" t="s">
        <v>101</v>
      </c>
      <c r="B11" s="18">
        <v>7633000000</v>
      </c>
      <c r="C11" s="18">
        <v>6977000000</v>
      </c>
      <c r="D11" s="18">
        <v>5407000000</v>
      </c>
      <c r="E11" s="18">
        <v>4311000000</v>
      </c>
      <c r="F11" s="6" t="s">
        <v>102</v>
      </c>
    </row>
    <row r="12" spans="1:6" x14ac:dyDescent="0.25">
      <c r="A12" t="s">
        <v>34</v>
      </c>
      <c r="B12" s="34">
        <v>2119689000</v>
      </c>
      <c r="C12" s="34">
        <v>2150508000</v>
      </c>
      <c r="D12" s="34">
        <v>2091782000</v>
      </c>
      <c r="E12" s="34">
        <v>1974928000</v>
      </c>
      <c r="F12" s="6" t="s">
        <v>103</v>
      </c>
    </row>
    <row r="15" spans="1:1" x14ac:dyDescent="0.25">
      <c r="A15" s="19" t="s">
        <v>104</v>
      </c>
    </row>
    <row r="16" ht="86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