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<sst xmlns="http://schemas.openxmlformats.org/spreadsheetml/2006/main" count="115" uniqueCount="103">
  <si>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UBS Group AG (UBSG.SW)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</si>
  <si>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</si>
  <si>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</si>
  <si>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</si>
  <si>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</si>
  <si>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</si>
  <si>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</si>
  <si>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</si>
  <si>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</si>
  <si>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</si>
  <si>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</si>
  <si>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</si>
  <si>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</si>
  <si>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</si>
  <si>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</si>
  <si>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</si>
  <si>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</si>
  <si>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</si>
  <si>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</si>
  <si>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</si>
  <si>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</si>
  <si>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</si>
  <si>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</si>
  <si>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</si>
  <si>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</si>
  <si>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</si>
  <si>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</si>
  <si>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</si>
  <si>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</si>
  <si>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</si>
  <si>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</si>
  <si>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</si>
  <si>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</si>
  <si>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</si>
  <si>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</si>
  <si>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</si>
  <si>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</si>
  <si>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</si>
  <si>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</si>
  <si>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</si>
  <si>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</si>
  <si>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</si>
  <si>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</si>
  <si>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</si>
  <si>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</si>
  <si>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</si>
  <si>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</si>
  <si>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</si>
  <si>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</si>
  <si>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</si>
  <si>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</si>
  <si>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</si>
  <si>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</si>
  <si>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</si>
  <si>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</si>
  <si>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</si>
  <si>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</si>
  <si>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</si>
  <si>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</si>
  <si>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</si>
  <si>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</si>
  <si>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</si>
  <si>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</si>
  <si>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</si>
  <si>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</si>
  <si>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</si>
  <si>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</si>
  <si>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</si>
  <si>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</si>
  <si>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</si>
  <si>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USD to CHF</t>
  </si>
  <si>
    <t>USD/CHF at 0.8218</t>
  </si>
  <si>
    <t>Value per share (CHF)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</si>
  <si>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</si>
  <si>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</si>
  <si>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</si>
  <si>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</si>
  <si>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</si>
  <si>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</si>
  <si>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</si>
  <si>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</si>
  <si>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</si>
  <si>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</si>
  <si>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</si>
  <si>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</si>
  <si>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</si>
  <si>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</si>
  <si>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</si>
  <si>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</si>
  <si>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</si>
  <si>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</si>
  <si>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</si>
  <si>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</si>
  <si>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</si>
  <si>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</si>
  <si>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</si>
  <si>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</si>
  <si>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</si>
  <si>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</si>
  <si>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USD, trades in CHF. Modelled in USD, converted at the end.</t>
  </si>
  <si>
    <t>Note: Risk-free rate is an assumption: CHF assumption - no free live source available for this market.</t>
  </si>
  <si>
    <t>Current EV/EBITDA of 20.4x sits outside a defensible 3-20x band, so the exit multiple is capped at 20.0x. A multiple that far out usually means EBITDA is the wrong denominator for this business.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</si>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</sst>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0.1243999293442164</v>
      </c>
    </row>
    <row r="7" spans="1:2" x14ac:dyDescent="0.25">
      <c r="A7" t="s">
        <v>5</v>
      </c>
      <c r="B7" s="6">
        <v>0.32826941222417866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0.07786816010658021</v>
      </c>
    </row>
    <row r="10" spans="1:2" x14ac:dyDescent="0.25">
      <c r="A10" t="s">
        <v>8</v>
      </c>
      <c r="B10" s="6">
        <v>0.04614128344926706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0.0637459093049925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0.88744</v>
      </c>
      <c r="C19" s="8" t="s">
        <v>19</v>
      </c>
    </row>
    <row r="20" spans="1:2" x14ac:dyDescent="0.25">
      <c r="A20" t="s">
        <v>20</v>
      </c>
      <c r="B20" s="10">
        <f>B17+B19*B18</f>
        <v>0.0538092</v>
      </c>
    </row>
    <row r="21" spans="1:3" x14ac:dyDescent="0.25">
      <c r="A21" t="s">
        <v>21</v>
      </c>
      <c r="B21" s="6">
        <v>0.07942076249317466</v>
      </c>
      <c r="C21" s="8" t="s">
        <v>22</v>
      </c>
    </row>
    <row r="22" spans="1:2" x14ac:dyDescent="0.25">
      <c r="A22" t="s">
        <v>23</v>
      </c>
      <c r="B22" s="11">
        <v>127215378432</v>
      </c>
    </row>
    <row r="23" spans="1:2" x14ac:dyDescent="0.25">
      <c r="A23" t="s">
        <v>24</v>
      </c>
      <c r="B23" s="11">
        <v>336042000000</v>
      </c>
    </row>
    <row r="24" spans="1:2" x14ac:dyDescent="0.25">
      <c r="A24" t="s">
        <v>25</v>
      </c>
      <c r="B24" s="10">
        <f>B22/(B22+B23)</f>
        <v>0.27461058226981594</v>
      </c>
    </row>
    <row r="25" spans="1:2" x14ac:dyDescent="0.25">
      <c r="A25" t="s">
        <v>26</v>
      </c>
      <c r="B25" s="10">
        <f>1-B24</f>
        <v>0.7253894177301841</v>
      </c>
    </row>
    <row r="26" spans="1:2" x14ac:dyDescent="0.25">
      <c r="A26" t="s">
        <v>27</v>
      </c>
      <c r="B26" s="12">
        <f>B24*B20+B25*B21*(1-B8)</f>
        <v>0.0637459093049925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47295000000</v>
      </c>
      <c r="C29" s="8" t="s">
        <v>30</v>
      </c>
    </row>
    <row r="30" spans="1:2" x14ac:dyDescent="0.25">
      <c r="A30" t="s">
        <v>31</v>
      </c>
      <c r="B30" s="11">
        <v>125033000000</v>
      </c>
    </row>
    <row r="31" spans="1:2" x14ac:dyDescent="0.25">
      <c r="A31" t="s">
        <v>32</v>
      </c>
      <c r="B31" s="13">
        <v>3290245302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0.1243999293442164</v>
      </c>
      <c r="C5" s="10">
        <f>Assumptions!B6</f>
        <v>0.1243999293442164</v>
      </c>
      <c r="D5" s="10">
        <f>Assumptions!B6</f>
        <v>0.1243999293442164</v>
      </c>
      <c r="E5" s="10">
        <f>Assumptions!B6</f>
        <v>0.1243999293442164</v>
      </c>
      <c r="F5" s="10">
        <f>Assumptions!B6</f>
        <v>0.1243999293442164</v>
      </c>
    </row>
    <row r="6" spans="1:6" x14ac:dyDescent="0.25">
      <c r="A6" t="s">
        <v>43</v>
      </c>
      <c r="B6" s="18">
        <f>Assumptions!B29*(1+B5)</f>
        <v>53178494658.33472</v>
      </c>
      <c r="C6" s="18">
        <f>B6*(1+C5)</f>
        <v>59793895636.46335</v>
      </c>
      <c r="D6" s="18">
        <f>C6*(1+D5)</f>
        <v>67232252028.854836</v>
      </c>
      <c r="E6" s="18">
        <f>D6*(1+E5)</f>
        <v>75595939430.89693</v>
      </c>
      <c r="F6" s="18">
        <f>E6*(1+F5)</f>
        <v>85000068954.81017</v>
      </c>
    </row>
    <row r="7" spans="1:6" x14ac:dyDescent="0.25">
      <c r="A7" t="s">
        <v>5</v>
      </c>
      <c r="B7" s="10">
        <f>Assumptions!B7</f>
        <v>0.32826941222417866</v>
      </c>
      <c r="C7" s="10">
        <f>Assumptions!B7</f>
        <v>0.32826941222417866</v>
      </c>
      <c r="D7" s="10">
        <f>Assumptions!B7</f>
        <v>0.32826941222417866</v>
      </c>
      <c r="E7" s="10">
        <f>Assumptions!B7</f>
        <v>0.32826941222417866</v>
      </c>
      <c r="F7" s="10">
        <f>Assumptions!B7</f>
        <v>0.32826941222417866</v>
      </c>
    </row>
    <row r="8" spans="1:6" x14ac:dyDescent="0.25">
      <c r="A8" t="s">
        <v>44</v>
      </c>
      <c r="B8" s="18">
        <f>B6*B7</f>
        <v>17456873184.45816</v>
      </c>
      <c r="C8" s="18">
        <f>C6*C7</f>
        <v>19628506975.175705</v>
      </c>
      <c r="D8" s="18">
        <f>D6*D7</f>
        <v>22070291856.02002</v>
      </c>
      <c r="E8" s="18">
        <f>E6*E7</f>
        <v>24815834603.515144</v>
      </c>
      <c r="F8" s="18">
        <f>F6*F7</f>
        <v>27902922674.81019</v>
      </c>
    </row>
    <row r="9" spans="1:6" x14ac:dyDescent="0.25">
      <c r="A9" t="s">
        <v>45</v>
      </c>
      <c r="B9" s="18">
        <f>B8*(1-Assumptions!B8)</f>
        <v>14838342206.789436</v>
      </c>
      <c r="C9" s="18">
        <f>C8*(1-Assumptions!B8)</f>
        <v>16684230928.89935</v>
      </c>
      <c r="D9" s="18">
        <f>D8*(1-Assumptions!B8)</f>
        <v>18759748077.617016</v>
      </c>
      <c r="E9" s="18">
        <f>E8*(1-Assumptions!B8)</f>
        <v>21093459412.987873</v>
      </c>
      <c r="F9" s="18">
        <f>F8*(1-Assumptions!B8)</f>
        <v>23717484273.58866</v>
      </c>
    </row>
    <row r="10" spans="1:6" x14ac:dyDescent="0.25">
      <c r="A10" t="s">
        <v>46</v>
      </c>
      <c r="B10" s="18">
        <f>B6*Assumptions!B9</f>
        <v>4140911536.2821283</v>
      </c>
      <c r="C10" s="18">
        <f>C6*Assumptions!B9</f>
        <v>4656040638.816276</v>
      </c>
      <c r="D10" s="18">
        <f>D6*Assumptions!B9</f>
        <v>5235251765.308821</v>
      </c>
      <c r="E10" s="18">
        <f>E6*Assumptions!B9</f>
        <v>5886516715.012422</v>
      </c>
      <c r="F10" s="18">
        <f>F6*Assumptions!B9</f>
        <v>6618798978.443516</v>
      </c>
    </row>
    <row r="11" spans="1:6" x14ac:dyDescent="0.25">
      <c r="A11" t="s">
        <v>47</v>
      </c>
      <c r="B11" s="18">
        <f>-B6*Assumptions!B10</f>
        <v>-2453723995.4355564</v>
      </c>
      <c r="C11" s="18">
        <f>-C6*Assumptions!B10</f>
        <v>-2758967087.097948</v>
      </c>
      <c r="D11" s="18">
        <f>-D6*Assumptions!B10</f>
        <v>-3102182397.7959514</v>
      </c>
      <c r="E11" s="18">
        <f>-E6*Assumptions!B10</f>
        <v>-3488093668.8946395</v>
      </c>
      <c r="F11" s="18">
        <f>-F6*Assumptions!B10</f>
        <v>-3922012274.851141</v>
      </c>
    </row>
    <row r="12" spans="1:6" x14ac:dyDescent="0.25">
      <c r="A12" t="s">
        <v>48</v>
      </c>
      <c r="B12" s="18">
        <f>-(B6-Assumptions!B29)*Assumptions!B11</f>
        <v>5883494658.334717</v>
      </c>
      <c r="C12" s="18">
        <f>-(C6-B6)*Assumptions!B11</f>
        <v>6615400978.128632</v>
      </c>
      <c r="D12" s="18">
        <f>-(D6-C6)*Assumptions!B11</f>
        <v>7438356392.391487</v>
      </c>
      <c r="E12" s="18">
        <f>-(E6-D6)*Assumptions!B11</f>
        <v>8363687402.042091</v>
      </c>
      <c r="F12" s="18">
        <f>-(F6-E6)*Assumptions!B11</f>
        <v>9404129523.913239</v>
      </c>
    </row>
    <row r="13" spans="1:6" x14ac:dyDescent="0.25">
      <c r="A13" s="19" t="s">
        <v>49</v>
      </c>
      <c r="B13" s="20">
        <f>B9+B10+B11+B12</f>
        <v>22409024405.970726</v>
      </c>
      <c r="C13" s="20">
        <f>C9+C10+C11+C12</f>
        <v>25196705458.746307</v>
      </c>
      <c r="D13" s="20">
        <f>D9+D10+D11+D12</f>
        <v>28331173837.52137</v>
      </c>
      <c r="E13" s="20">
        <f>E9+E10+E11+E12</f>
        <v>31855569861.147747</v>
      </c>
      <c r="F13" s="20">
        <f>F9+F10+F11+F12</f>
        <v>35818400501.09428</v>
      </c>
    </row>
    <row r="14" spans="1:6" x14ac:dyDescent="0.25">
      <c r="A14" t="s">
        <v>50</v>
      </c>
      <c r="B14" s="21">
        <f>1/(1+Assumptions!$B$26)^(1-0.5*Assumptions!$B$32)</f>
        <v>0.9695741953982422</v>
      </c>
      <c r="C14" s="21">
        <f>1/(1+Assumptions!$B$26)^(2-0.5*Assumptions!$B$32)</f>
        <v>0.9114716088842324</v>
      </c>
      <c r="D14" s="21">
        <f>1/(1+Assumptions!$B$26)^(3-0.5*Assumptions!$B$32)</f>
        <v>0.8568508709751468</v>
      </c>
      <c r="E14" s="21">
        <f>1/(1+Assumptions!$B$26)^(4-0.5*Assumptions!$B$32)</f>
        <v>0.8055033288306391</v>
      </c>
      <c r="F14" s="21">
        <f>1/(1+Assumptions!$B$26)^(5-0.5*Assumptions!$B$32)</f>
        <v>0.757232833315356</v>
      </c>
    </row>
    <row r="15" spans="1:6" x14ac:dyDescent="0.25">
      <c r="A15" s="19" t="s">
        <v>51</v>
      </c>
      <c r="B15" s="20">
        <f>B13*B14</f>
        <v>21727211808.07864</v>
      </c>
      <c r="C15" s="20">
        <f>C13*C14</f>
        <v>22966081663.065617</v>
      </c>
      <c r="D15" s="20">
        <f>D13*D14</f>
        <v>24275590978.42848</v>
      </c>
      <c r="E15" s="20">
        <f>E13*E14</f>
        <v>25659767564.951492</v>
      </c>
      <c r="F15" s="20">
        <f>F13*F14</f>
        <v>27122868896.267784</v>
      </c>
    </row>
    <row r="17" spans="1:2" x14ac:dyDescent="0.25">
      <c r="A17" s="22" t="s">
        <v>52</v>
      </c>
      <c r="B17" s="23">
        <f>SUM(B15:F15)</f>
        <v>121751520910.79202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35818400501.09428</v>
      </c>
    </row>
    <row r="5" spans="1:2" x14ac:dyDescent="0.25">
      <c r="A5" t="s">
        <v>56</v>
      </c>
      <c r="B5" s="18">
        <f>IF(Assumptions!$B$33=0,B4,B4-Forecast!F11-Forecast!F10-Forecast!F12)</f>
        <v>23717484273.58866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0.3921820281892509</v>
      </c>
    </row>
    <row r="7" spans="1:2" x14ac:dyDescent="0.25">
      <c r="A7" t="s">
        <v>58</v>
      </c>
      <c r="B7" s="18">
        <f>-MAX(Forecast!F9,0)*B6</f>
        <v>-9301571085.962664</v>
      </c>
    </row>
    <row r="8" spans="1:2" x14ac:dyDescent="0.25">
      <c r="A8" t="s">
        <v>59</v>
      </c>
      <c r="B8" s="18">
        <f>IF(OR(Assumptions!$B$33=0,Assumptions!B12&lt;=0),B5,MAX(B5+B7,0))</f>
        <v>14415913187.625998</v>
      </c>
    </row>
    <row r="9" spans="1:2" x14ac:dyDescent="0.25">
      <c r="A9" t="s">
        <v>60</v>
      </c>
      <c r="B9" s="18">
        <f>B8*(1+Assumptions!B12)/(Assumptions!B26-Assumptions!B12)</f>
        <v>381364414524.4691</v>
      </c>
    </row>
    <row r="10" spans="1:2" x14ac:dyDescent="0.25">
      <c r="A10" t="s">
        <v>61</v>
      </c>
      <c r="B10" s="18">
        <f>B9/(1+Assumptions!B26)^(5-0.5*Assumptions!B32)</f>
        <v>288781656136.0156</v>
      </c>
    </row>
    <row r="11" spans="1:2" x14ac:dyDescent="0.25">
      <c r="A11" t="s">
        <v>62</v>
      </c>
      <c r="B11" s="18">
        <f>Forecast!B17+B10</f>
        <v>410533177046.8076</v>
      </c>
    </row>
    <row r="12" spans="1:2" x14ac:dyDescent="0.25">
      <c r="A12" t="s">
        <v>63</v>
      </c>
      <c r="B12" s="18">
        <f>-Assumptions!B30</f>
        <v>-125033000000</v>
      </c>
    </row>
    <row r="13" spans="1:2" x14ac:dyDescent="0.25">
      <c r="A13" t="s">
        <v>64</v>
      </c>
      <c r="B13" s="18">
        <f>B11+B12</f>
        <v>285500177046.8076</v>
      </c>
    </row>
    <row r="14" spans="1:2" x14ac:dyDescent="0.25">
      <c r="A14" s="19" t="s">
        <v>65</v>
      </c>
      <c r="B14" s="24">
        <f>B13/Assumptions!B31</f>
        <v>86.7716996277646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34521721653.25371</v>
      </c>
    </row>
    <row r="18" spans="1:2" x14ac:dyDescent="0.25">
      <c r="A18" t="s">
        <v>60</v>
      </c>
      <c r="B18" s="18">
        <f>B17*Assumptions!B13</f>
        <v>690434433065.0742</v>
      </c>
    </row>
    <row r="19" spans="1:2" x14ac:dyDescent="0.25">
      <c r="A19" t="s">
        <v>61</v>
      </c>
      <c r="B19" s="18">
        <f>B18/(1+Assumptions!B26)^(5-0.5*Assumptions!B32)</f>
        <v>522819621968.34766</v>
      </c>
    </row>
    <row r="20" spans="1:2" x14ac:dyDescent="0.25">
      <c r="A20" t="s">
        <v>62</v>
      </c>
      <c r="B20" s="18">
        <f>Forecast!B17+B19</f>
        <v>644571142879.1396</v>
      </c>
    </row>
    <row r="21" spans="1:2" x14ac:dyDescent="0.25">
      <c r="A21" t="s">
        <v>63</v>
      </c>
      <c r="B21" s="18">
        <f>-Assumptions!B30</f>
        <v>-125033000000</v>
      </c>
    </row>
    <row r="22" spans="1:2" x14ac:dyDescent="0.25">
      <c r="A22" t="s">
        <v>64</v>
      </c>
      <c r="B22" s="18">
        <f>B20+B21</f>
        <v>519538142879.13965</v>
      </c>
    </row>
    <row r="23" spans="1:2" x14ac:dyDescent="0.25">
      <c r="A23" s="19" t="s">
        <v>65</v>
      </c>
      <c r="B23" s="25">
        <f>B22/Assumptions!B31</f>
        <v>157.90255594722208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41.55</v>
      </c>
    </row>
    <row r="27" spans="1:3" x14ac:dyDescent="0.25">
      <c r="A27" t="s">
        <v>70</v>
      </c>
      <c r="B27" s="27">
        <v>0.82181</v>
      </c>
      <c r="C27" s="8" t="s">
        <v>71</v>
      </c>
    </row>
    <row r="28" spans="1:2" x14ac:dyDescent="0.25">
      <c r="A28" t="s">
        <v>72</v>
      </c>
      <c r="B28" s="28">
        <f>B14*B27</f>
        <v>71.30985047109323</v>
      </c>
    </row>
    <row r="29" spans="1:2" x14ac:dyDescent="0.25">
      <c r="A29" s="19" t="s">
        <v>73</v>
      </c>
      <c r="B29" s="12">
        <f>B28/B26-1</f>
        <v>0.7162418885943016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0.043746</v>
      </c>
      <c r="B5" s="31">
        <v>138.8368047650208</v>
      </c>
      <c r="C5" s="31">
        <v>139.51631388623338</v>
      </c>
      <c r="D5" s="31">
        <v>140.19582300744588</v>
      </c>
      <c r="E5" s="31">
        <v>140.87533212865844</v>
      </c>
      <c r="F5" s="31">
        <v>141.5548412498709</v>
      </c>
    </row>
    <row r="6" spans="1:6" x14ac:dyDescent="0.25">
      <c r="A6" s="30">
        <v>0.053746</v>
      </c>
      <c r="B6" s="31">
        <v>107.48928490409719</v>
      </c>
      <c r="C6" s="31">
        <v>108.01913433762333</v>
      </c>
      <c r="D6" s="31">
        <v>108.54898377114937</v>
      </c>
      <c r="E6" s="31">
        <v>109.07883320467548</v>
      </c>
      <c r="F6" s="31">
        <v>109.60868263820154</v>
      </c>
    </row>
    <row r="7" spans="1:6" x14ac:dyDescent="0.25">
      <c r="A7" s="30">
        <v>0.063746</v>
      </c>
      <c r="B7" s="31">
        <v>85.91525111810064</v>
      </c>
      <c r="C7" s="31">
        <v>86.34339198042171</v>
      </c>
      <c r="D7" s="32">
        <v>86.77153284274277</v>
      </c>
      <c r="E7" s="31">
        <v>87.19967370506384</v>
      </c>
      <c r="F7" s="31">
        <v>87.62781456738489</v>
      </c>
    </row>
    <row r="8" spans="1:6" x14ac:dyDescent="0.25">
      <c r="A8" s="30">
        <v>0.073746</v>
      </c>
      <c r="B8" s="31">
        <v>70.14239760101418</v>
      </c>
      <c r="C8" s="31">
        <v>70.4972231337463</v>
      </c>
      <c r="D8" s="31">
        <v>70.85204866647842</v>
      </c>
      <c r="E8" s="31">
        <v>71.20687419921055</v>
      </c>
      <c r="F8" s="31">
        <v>71.56169973194265</v>
      </c>
    </row>
    <row r="9" spans="1:6" x14ac:dyDescent="0.25">
      <c r="A9" s="30">
        <v>0.083746</v>
      </c>
      <c r="B9" s="31">
        <v>58.095499546690355</v>
      </c>
      <c r="C9" s="31">
        <v>58.395189711920466</v>
      </c>
      <c r="D9" s="31">
        <v>58.69487987715054</v>
      </c>
      <c r="E9" s="31">
        <v>58.99457004238067</v>
      </c>
      <c r="F9" s="31">
        <v>59.29426020761076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47295000000</v>
      </c>
      <c r="C5" s="18">
        <v>45346000000</v>
      </c>
      <c r="D5" s="18">
        <v>41140000000</v>
      </c>
      <c r="E5" s="18">
        <v>33270000000</v>
      </c>
      <c r="F5" s="8" t="s">
        <v>84</v>
      </c>
    </row>
    <row r="6" spans="1:6" x14ac:dyDescent="0.25">
      <c r="A6" t="s">
        <v>44</v>
      </c>
      <c r="B6" s="18">
        <v>8853000000</v>
      </c>
      <c r="C6" s="18">
        <v>6821000000</v>
      </c>
      <c r="D6" s="18">
        <v>28255000000</v>
      </c>
      <c r="E6" s="18">
        <v>9604000000</v>
      </c>
      <c r="F6" s="8" t="s">
        <v>85</v>
      </c>
    </row>
    <row r="7" spans="1:6" x14ac:dyDescent="0.25">
      <c r="A7" t="s">
        <v>86</v>
      </c>
      <c r="B7" s="18">
        <v>3529000000</v>
      </c>
      <c r="C7" s="18">
        <v>3798000000</v>
      </c>
      <c r="D7" s="18">
        <v>3750000000</v>
      </c>
      <c r="E7" s="18">
        <v>2061000000</v>
      </c>
      <c r="F7" s="8" t="s">
        <v>87</v>
      </c>
    </row>
    <row r="8" spans="1:6" x14ac:dyDescent="0.25">
      <c r="A8" t="s">
        <v>88</v>
      </c>
      <c r="B8" s="18">
        <v>2362000000</v>
      </c>
      <c r="C8" s="18">
        <v>2008000000</v>
      </c>
      <c r="D8" s="18">
        <v>1685000000</v>
      </c>
      <c r="E8" s="18">
        <v>1643000000</v>
      </c>
      <c r="F8" s="8" t="s">
        <v>89</v>
      </c>
    </row>
    <row r="9" spans="1:6" x14ac:dyDescent="0.25">
      <c r="A9" t="s">
        <v>90</v>
      </c>
      <c r="B9" s="18">
        <v>-23698000000</v>
      </c>
      <c r="C9" s="18">
        <v>20804000000</v>
      </c>
      <c r="D9" s="18">
        <v>-90103000000</v>
      </c>
      <c r="E9" s="18">
        <v>-18228000000</v>
      </c>
      <c r="F9" s="8" t="s">
        <v>91</v>
      </c>
    </row>
    <row r="10" spans="1:6" x14ac:dyDescent="0.25">
      <c r="A10" t="s">
        <v>92</v>
      </c>
      <c r="B10" s="18">
        <v>336042000000</v>
      </c>
      <c r="C10" s="18">
        <v>332423000000</v>
      </c>
      <c r="D10" s="18">
        <v>377685000000</v>
      </c>
      <c r="E10" s="18">
        <v>193276000000</v>
      </c>
      <c r="F10" s="8" t="s">
        <v>93</v>
      </c>
    </row>
    <row r="11" spans="1:6" x14ac:dyDescent="0.25">
      <c r="A11" t="s">
        <v>94</v>
      </c>
      <c r="B11" s="18">
        <v>211009000000</v>
      </c>
      <c r="C11" s="18">
        <v>225705000000</v>
      </c>
      <c r="D11" s="18">
        <v>317124000000</v>
      </c>
      <c r="E11" s="18">
        <v>172825000000</v>
      </c>
      <c r="F11" s="8" t="s">
        <v>95</v>
      </c>
    </row>
    <row r="12" spans="1:6" x14ac:dyDescent="0.25">
      <c r="A12" t="s">
        <v>32</v>
      </c>
      <c r="B12" s="34">
        <v>3290245302</v>
      </c>
      <c r="C12" s="34">
        <v>3351111970</v>
      </c>
      <c r="D12" s="34">
        <v>3295996202</v>
      </c>
      <c r="E12" s="34">
        <v>3397470215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2026-09-19T00:07:06Z</dcterms:modified>
</cp:coreProperties>
</file>