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<sst xmlns="http://schemas.openxmlformats.org/spreadsheetml/2006/main" count="113" uniqueCount="101">
  <si>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UniCredit S.p.A. (UCG.MI)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</si>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</sst>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0.059768624714767515</v>
      </c>
    </row>
    <row r="7" spans="1:2" x14ac:dyDescent="0.25">
      <c r="A7" t="s">
        <v>5</v>
      </c>
      <c r="B7" s="6">
        <v>0.45594446477228134</v>
      </c>
    </row>
    <row r="8" spans="1:2" x14ac:dyDescent="0.25">
      <c r="A8" t="s">
        <v>6</v>
      </c>
      <c r="B8" s="6">
        <v>0.17914261099205675</v>
      </c>
    </row>
    <row r="9" spans="1:2" x14ac:dyDescent="0.25">
      <c r="A9" t="s">
        <v>7</v>
      </c>
      <c r="B9" s="6">
        <v>0.05656814129102823</v>
      </c>
    </row>
    <row r="10" spans="1:2" x14ac:dyDescent="0.25">
      <c r="A10" t="s">
        <v>8</v>
      </c>
      <c r="B10" s="6">
        <v>0.05426712603827776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13.400580572967877</v>
      </c>
    </row>
    <row r="14" spans="1:3" x14ac:dyDescent="0.25">
      <c r="A14" t="s">
        <v>12</v>
      </c>
      <c r="B14" s="6">
        <v>0.09600576327086019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1.03953</v>
      </c>
      <c r="C19" s="8" t="s">
        <v>19</v>
      </c>
    </row>
    <row r="20" spans="1:2" x14ac:dyDescent="0.25">
      <c r="A20" t="s">
        <v>20</v>
      </c>
      <c r="B20" s="10">
        <f>B17+B19*B18</f>
        <v>0.10956945000000001</v>
      </c>
    </row>
    <row r="21" spans="1:3" x14ac:dyDescent="0.25">
      <c r="A21" t="s">
        <v>21</v>
      </c>
      <c r="B21" s="6">
        <v>0.10140028971511347</v>
      </c>
      <c r="C21" s="8" t="s">
        <v>22</v>
      </c>
    </row>
    <row r="22" spans="1:2" x14ac:dyDescent="0.25">
      <c r="A22" t="s">
        <v>23</v>
      </c>
      <c r="B22" s="11">
        <v>122340220928</v>
      </c>
    </row>
    <row r="23" spans="1:2" x14ac:dyDescent="0.25">
      <c r="A23" t="s">
        <v>24</v>
      </c>
      <c r="B23" s="11">
        <v>129938000000</v>
      </c>
    </row>
    <row r="24" spans="1:2" x14ac:dyDescent="0.25">
      <c r="A24" t="s">
        <v>25</v>
      </c>
      <c r="B24" s="10">
        <f>B22/(B22+B23)</f>
        <v>0.48494166669629324</v>
      </c>
    </row>
    <row r="25" spans="1:2" x14ac:dyDescent="0.25">
      <c r="A25" t="s">
        <v>26</v>
      </c>
      <c r="B25" s="10">
        <f>1-B24</f>
        <v>0.5150583333037068</v>
      </c>
    </row>
    <row r="26" spans="1:2" x14ac:dyDescent="0.25">
      <c r="A26" t="s">
        <v>27</v>
      </c>
      <c r="B26" s="12">
        <f>B24*B20+B25*B21*(1-B8)</f>
        <v>0.09600576327086019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25039000000</v>
      </c>
      <c r="C29" s="8" t="s">
        <v>30</v>
      </c>
    </row>
    <row r="30" spans="1:2" x14ac:dyDescent="0.25">
      <c r="A30" t="s">
        <v>31</v>
      </c>
      <c r="B30" s="11">
        <v>76645000000</v>
      </c>
    </row>
    <row r="31" spans="1:2" x14ac:dyDescent="0.25">
      <c r="A31" t="s">
        <v>32</v>
      </c>
      <c r="B31" s="13">
        <v>1584179971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0.059768624714767515</v>
      </c>
      <c r="C5" s="10">
        <f>Assumptions!B6</f>
        <v>0.059768624714767515</v>
      </c>
      <c r="D5" s="10">
        <f>Assumptions!B6</f>
        <v>0.059768624714767515</v>
      </c>
      <c r="E5" s="10">
        <f>Assumptions!B6</f>
        <v>0.059768624714767515</v>
      </c>
      <c r="F5" s="10">
        <f>Assumptions!B6</f>
        <v>0.059768624714767515</v>
      </c>
    </row>
    <row r="6" spans="1:6" x14ac:dyDescent="0.25">
      <c r="A6" t="s">
        <v>43</v>
      </c>
      <c r="B6" s="18">
        <f>Assumptions!B29*(1+B5)</f>
        <v>26535546594.233063</v>
      </c>
      <c r="C6" s="18">
        <f>B6*(1+C5)</f>
        <v>28121539720.225006</v>
      </c>
      <c r="D6" s="18">
        <f>C6*(1+D5)</f>
        <v>29802325474.164562</v>
      </c>
      <c r="E6" s="18">
        <f>D6*(1+E5)</f>
        <v>31583569481.05726</v>
      </c>
      <c r="F6" s="18">
        <f>E6*(1+F5)</f>
        <v>33471275992.523354</v>
      </c>
    </row>
    <row r="7" spans="1:6" x14ac:dyDescent="0.25">
      <c r="A7" t="s">
        <v>5</v>
      </c>
      <c r="B7" s="10">
        <f>Assumptions!B7</f>
        <v>0.45594446477228134</v>
      </c>
      <c r="C7" s="10">
        <f>Assumptions!B7</f>
        <v>0.45594446477228134</v>
      </c>
      <c r="D7" s="10">
        <f>Assumptions!B7</f>
        <v>0.45594446477228134</v>
      </c>
      <c r="E7" s="10">
        <f>Assumptions!B7</f>
        <v>0.45594446477228134</v>
      </c>
      <c r="F7" s="10">
        <f>Assumptions!B7</f>
        <v>0.45594446477228134</v>
      </c>
    </row>
    <row r="8" spans="1:6" x14ac:dyDescent="0.25">
      <c r="A8" t="s">
        <v>44</v>
      </c>
      <c r="B8" s="18">
        <f>B6*B7</f>
        <v>12098735589.347527</v>
      </c>
      <c r="C8" s="18">
        <f>C6*C7</f>
        <v>12821860376.31044</v>
      </c>
      <c r="D8" s="18">
        <f>D6*D7</f>
        <v>13588205337.287287</v>
      </c>
      <c r="E8" s="18">
        <f>E6*E7</f>
        <v>14400353682.638811</v>
      </c>
      <c r="F8" s="18">
        <f>F6*F7</f>
        <v>15261043017.65637</v>
      </c>
    </row>
    <row r="9" spans="1:6" x14ac:dyDescent="0.25">
      <c r="A9" t="s">
        <v>45</v>
      </c>
      <c r="B9" s="18">
        <f>B8*(1-Assumptions!B8)</f>
        <v>9931336506.16929</v>
      </c>
      <c r="C9" s="18">
        <f>C8*(1-Assumptions!B8)</f>
        <v>10524918830.722593</v>
      </c>
      <c r="D9" s="18">
        <f>D8*(1-Assumptions!B8)</f>
        <v>11153978754.46944</v>
      </c>
      <c r="E9" s="18">
        <f>E8*(1-Assumptions!B8)</f>
        <v>11820636724.721815</v>
      </c>
      <c r="F9" s="18">
        <f>F8*(1-Assumptions!B8)</f>
        <v>12527139925.01131</v>
      </c>
    </row>
    <row r="10" spans="1:6" x14ac:dyDescent="0.25">
      <c r="A10" t="s">
        <v>46</v>
      </c>
      <c r="B10" s="18">
        <f>B6*Assumptions!B9</f>
        <v>1501066548.977239</v>
      </c>
      <c r="C10" s="18">
        <f>C6*Assumptions!B9</f>
        <v>1590783232.2149506</v>
      </c>
      <c r="D10" s="18">
        <f>D6*Assumptions!B9</f>
        <v>1685862158.2237508</v>
      </c>
      <c r="E10" s="18">
        <f>E6*Assumptions!B9</f>
        <v>1786623820.8794541</v>
      </c>
      <c r="F10" s="18">
        <f>F6*Assumptions!B9</f>
        <v>1893407869.5360622</v>
      </c>
    </row>
    <row r="11" spans="1:6" x14ac:dyDescent="0.25">
      <c r="A11" t="s">
        <v>47</v>
      </c>
      <c r="B11" s="18">
        <f>-B6*Assumptions!B10</f>
        <v>-1440007851.5238378</v>
      </c>
      <c r="C11" s="18">
        <f>-C6*Assumptions!B10</f>
        <v>-1526075140.3878849</v>
      </c>
      <c r="D11" s="18">
        <f>-D6*Assumptions!B10</f>
        <v>-1617286552.7402644</v>
      </c>
      <c r="E11" s="18">
        <f>-E6*Assumptions!B10</f>
        <v>-1713949545.7672372</v>
      </c>
      <c r="F11" s="18">
        <f>-F6*Assumptions!B10</f>
        <v>-1816389952.9482455</v>
      </c>
    </row>
    <row r="12" spans="1:6" x14ac:dyDescent="0.25">
      <c r="A12" t="s">
        <v>48</v>
      </c>
      <c r="B12" s="18">
        <f>-(B6-Assumptions!B29)*Assumptions!B11</f>
        <v>-1496546594.2330627</v>
      </c>
      <c r="C12" s="18">
        <f>-(C6-B6)*Assumptions!B11</f>
        <v>-1585993125.9919434</v>
      </c>
      <c r="D12" s="18">
        <f>-(D6-C6)*Assumptions!B11</f>
        <v>-1680785753.9395561</v>
      </c>
      <c r="E12" s="18">
        <f>-(E6-D6)*Assumptions!B11</f>
        <v>-1781244006.8926964</v>
      </c>
      <c r="F12" s="18">
        <f>-(F6-E6)*Assumptions!B11</f>
        <v>-1887706511.466095</v>
      </c>
    </row>
    <row r="13" spans="1:6" x14ac:dyDescent="0.25">
      <c r="A13" s="19" t="s">
        <v>49</v>
      </c>
      <c r="B13" s="20">
        <f>B9+B10+B11+B12</f>
        <v>8495848609.389629</v>
      </c>
      <c r="C13" s="20">
        <f>C9+C10+C11+C12</f>
        <v>9003633796.557716</v>
      </c>
      <c r="D13" s="20">
        <f>D9+D10+D11+D12</f>
        <v>9541768606.01337</v>
      </c>
      <c r="E13" s="20">
        <f>E9+E10+E11+E12</f>
        <v>10112066992.941336</v>
      </c>
      <c r="F13" s="20">
        <f>F9+F10+F11+F12</f>
        <v>10716451330.133032</v>
      </c>
    </row>
    <row r="14" spans="1:6" x14ac:dyDescent="0.25">
      <c r="A14" t="s">
        <v>50</v>
      </c>
      <c r="B14" s="21">
        <f>1/(1+Assumptions!$B$26)^(1-0.5*Assumptions!$B$32)</f>
        <v>0.9551983884436966</v>
      </c>
      <c r="C14" s="21">
        <f>1/(1+Assumptions!$B$26)^(2-0.5*Assumptions!$B$32)</f>
        <v>0.871526793429493</v>
      </c>
      <c r="D14" s="21">
        <f>1/(1+Assumptions!$B$26)^(3-0.5*Assumptions!$B$32)</f>
        <v>0.7951844986914628</v>
      </c>
      <c r="E14" s="21">
        <f>1/(1+Assumptions!$B$26)^(4-0.5*Assumptions!$B$32)</f>
        <v>0.7255294865588637</v>
      </c>
      <c r="F14" s="21">
        <f>1/(1+Assumptions!$B$26)^(5-0.5*Assumptions!$B$32)</f>
        <v>0.6619759775656954</v>
      </c>
    </row>
    <row r="15" spans="1:6" x14ac:dyDescent="0.25">
      <c r="A15" s="19" t="s">
        <v>51</v>
      </c>
      <c r="B15" s="20">
        <f>B13*B14</f>
        <v>8115220900.150595</v>
      </c>
      <c r="C15" s="20">
        <f>C13*C14</f>
        <v>7846908091.927359</v>
      </c>
      <c r="D15" s="20">
        <f>D13*D14</f>
        <v>7587466485.60268</v>
      </c>
      <c r="E15" s="20">
        <f>E13*E14</f>
        <v>7336602773.43756</v>
      </c>
      <c r="F15" s="20">
        <f>F13*F14</f>
        <v>7094033345.300011</v>
      </c>
    </row>
    <row r="17" spans="1:2" x14ac:dyDescent="0.25">
      <c r="A17" s="22" t="s">
        <v>52</v>
      </c>
      <c r="B17" s="23">
        <f>SUM(B15:F15)</f>
        <v>37980231596.418205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10716451330.133032</v>
      </c>
    </row>
    <row r="5" spans="1:2" x14ac:dyDescent="0.25">
      <c r="A5" t="s">
        <v>56</v>
      </c>
      <c r="B5" s="18">
        <f>IF(Assumptions!$B$33=0,B4,B4-Forecast!F11-Forecast!F10-Forecast!F12)</f>
        <v>12527139925.01131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0.26040103373239926</v>
      </c>
    </row>
    <row r="7" spans="1:2" x14ac:dyDescent="0.25">
      <c r="A7" t="s">
        <v>58</v>
      </c>
      <c r="B7" s="18">
        <f>-MAX(Forecast!F9,0)*B6</f>
        <v>-3262080186.183356</v>
      </c>
    </row>
    <row r="8" spans="1:2" x14ac:dyDescent="0.25">
      <c r="A8" t="s">
        <v>59</v>
      </c>
      <c r="B8" s="18">
        <f>IF(OR(Assumptions!$B$33=0,Assumptions!B12&lt;=0),B5,MAX(B5+B7,0))</f>
        <v>9265059738.827955</v>
      </c>
    </row>
    <row r="9" spans="1:2" x14ac:dyDescent="0.25">
      <c r="A9" t="s">
        <v>60</v>
      </c>
      <c r="B9" s="18">
        <f>B8*(1+Assumptions!B12)/(Assumptions!B26-Assumptions!B12)</f>
        <v>133745287633.51755</v>
      </c>
    </row>
    <row r="10" spans="1:2" x14ac:dyDescent="0.25">
      <c r="A10" t="s">
        <v>61</v>
      </c>
      <c r="B10" s="18">
        <f>B9/(1+Assumptions!B26)^(5-0.5*Assumptions!B32)</f>
        <v>88536167526.00288</v>
      </c>
    </row>
    <row r="11" spans="1:2" x14ac:dyDescent="0.25">
      <c r="A11" t="s">
        <v>62</v>
      </c>
      <c r="B11" s="18">
        <f>Forecast!B17+B10</f>
        <v>126516399122.42108</v>
      </c>
    </row>
    <row r="12" spans="1:2" x14ac:dyDescent="0.25">
      <c r="A12" t="s">
        <v>63</v>
      </c>
      <c r="B12" s="18">
        <f>-Assumptions!B30</f>
        <v>-76645000000</v>
      </c>
    </row>
    <row r="13" spans="1:2" x14ac:dyDescent="0.25">
      <c r="A13" t="s">
        <v>64</v>
      </c>
      <c r="B13" s="18">
        <f>B11+B12</f>
        <v>49871399122.42108</v>
      </c>
    </row>
    <row r="14" spans="1:2" x14ac:dyDescent="0.25">
      <c r="A14" s="19" t="s">
        <v>65</v>
      </c>
      <c r="B14" s="24">
        <f>B13/Assumptions!B31</f>
        <v>31.48089234516719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17154450887.192432</v>
      </c>
    </row>
    <row r="18" spans="1:2" x14ac:dyDescent="0.25">
      <c r="A18" t="s">
        <v>60</v>
      </c>
      <c r="B18" s="18">
        <f>B17*Assumptions!B13</f>
        <v>229879601298.84247</v>
      </c>
    </row>
    <row r="19" spans="1:2" x14ac:dyDescent="0.25">
      <c r="A19" t="s">
        <v>61</v>
      </c>
      <c r="B19" s="18">
        <f>B18/(1+Assumptions!B26)^(5-0.5*Assumptions!B32)</f>
        <v>152174773792.21353</v>
      </c>
    </row>
    <row r="20" spans="1:2" x14ac:dyDescent="0.25">
      <c r="A20" t="s">
        <v>62</v>
      </c>
      <c r="B20" s="18">
        <f>Forecast!B17+B19</f>
        <v>190155005388.63174</v>
      </c>
    </row>
    <row r="21" spans="1:2" x14ac:dyDescent="0.25">
      <c r="A21" t="s">
        <v>63</v>
      </c>
      <c r="B21" s="18">
        <f>-Assumptions!B30</f>
        <v>-76645000000</v>
      </c>
    </row>
    <row r="22" spans="1:2" x14ac:dyDescent="0.25">
      <c r="A22" t="s">
        <v>64</v>
      </c>
      <c r="B22" s="18">
        <f>B20+B21</f>
        <v>113510005388.63174</v>
      </c>
    </row>
    <row r="23" spans="1:2" x14ac:dyDescent="0.25">
      <c r="A23" s="19" t="s">
        <v>65</v>
      </c>
      <c r="B23" s="25">
        <f>B22/Assumptions!B31</f>
        <v>71.65221595181482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81.13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31.48089234516719</v>
      </c>
    </row>
    <row r="29" spans="1:2" x14ac:dyDescent="0.25">
      <c r="A29" s="19" t="s">
        <v>73</v>
      </c>
      <c r="B29" s="12">
        <f>B28/B26-1</f>
        <v>-0.6119697726467743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0.076006</v>
      </c>
      <c r="B5" s="31">
        <v>52.64531114848227</v>
      </c>
      <c r="C5" s="31">
        <v>53.01942468161066</v>
      </c>
      <c r="D5" s="31">
        <v>53.39353821473905</v>
      </c>
      <c r="E5" s="31">
        <v>53.76765174786744</v>
      </c>
      <c r="F5" s="31">
        <v>54.14176528099581</v>
      </c>
    </row>
    <row r="6" spans="1:6" x14ac:dyDescent="0.25">
      <c r="A6" s="30">
        <v>0.086006</v>
      </c>
      <c r="B6" s="31">
        <v>40.51417967886223</v>
      </c>
      <c r="C6" s="31">
        <v>40.83131429845663</v>
      </c>
      <c r="D6" s="31">
        <v>41.148448918051024</v>
      </c>
      <c r="E6" s="31">
        <v>41.465583537645436</v>
      </c>
      <c r="F6" s="31">
        <v>41.78271815723983</v>
      </c>
    </row>
    <row r="7" spans="1:6" x14ac:dyDescent="0.25">
      <c r="A7" s="30">
        <v>0.096006</v>
      </c>
      <c r="B7" s="31">
        <v>30.935443686626563</v>
      </c>
      <c r="C7" s="31">
        <v>31.208065653342533</v>
      </c>
      <c r="D7" s="32">
        <v>31.48068762005849</v>
      </c>
      <c r="E7" s="31">
        <v>31.75330958677444</v>
      </c>
      <c r="F7" s="31">
        <v>32.025931553490395</v>
      </c>
    </row>
    <row r="8" spans="1:6" x14ac:dyDescent="0.25">
      <c r="A8" s="30">
        <v>0.106006</v>
      </c>
      <c r="B8" s="31">
        <v>23.185493768999457</v>
      </c>
      <c r="C8" s="31">
        <v>23.422510112489558</v>
      </c>
      <c r="D8" s="31">
        <v>23.65952645597968</v>
      </c>
      <c r="E8" s="31">
        <v>23.896542799469803</v>
      </c>
      <c r="F8" s="31">
        <v>24.133559142959925</v>
      </c>
    </row>
    <row r="9" spans="1:6" x14ac:dyDescent="0.25">
      <c r="A9" s="30">
        <v>0.116006</v>
      </c>
      <c r="B9" s="31">
        <v>16.790302242319093</v>
      </c>
      <c r="C9" s="31">
        <v>16.99828990749212</v>
      </c>
      <c r="D9" s="31">
        <v>17.20627757266514</v>
      </c>
      <c r="E9" s="31">
        <v>17.41426523783815</v>
      </c>
      <c r="F9" s="31">
        <v>17.622252903011166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25039000000</v>
      </c>
      <c r="C5" s="18">
        <v>26579000000</v>
      </c>
      <c r="D5" s="18">
        <v>25360000000</v>
      </c>
      <c r="E5" s="18">
        <v>21037000000</v>
      </c>
      <c r="F5" s="8" t="s">
        <v>84</v>
      </c>
    </row>
    <row r="6" spans="1:6" x14ac:dyDescent="0.25">
      <c r="A6" t="s">
        <v>44</v>
      </c>
      <c r="B6" s="18">
        <v>13569000000</v>
      </c>
      <c r="C6" s="18">
        <v>12860000000</v>
      </c>
      <c r="D6" s="18">
        <v>11451000000</v>
      </c>
      <c r="E6" s="18">
        <v>7289000000</v>
      </c>
      <c r="F6" s="8" t="s">
        <v>85</v>
      </c>
    </row>
    <row r="7" spans="1:6" x14ac:dyDescent="0.25">
      <c r="A7" t="s">
        <v>86</v>
      </c>
      <c r="B7" s="18">
        <v>1280000000</v>
      </c>
      <c r="C7" s="18">
        <v>1306000000</v>
      </c>
      <c r="D7" s="18">
        <v>1625000000</v>
      </c>
      <c r="E7" s="18">
        <v>1303000000</v>
      </c>
      <c r="F7" s="8" t="s">
        <v>87</v>
      </c>
    </row>
    <row r="8" spans="1:6" x14ac:dyDescent="0.25">
      <c r="A8" t="s">
        <v>88</v>
      </c>
      <c r="B8" s="18">
        <v>1266000000</v>
      </c>
      <c r="C8" s="18">
        <v>1740000000</v>
      </c>
      <c r="D8" s="18">
        <v>1152000000</v>
      </c>
      <c r="E8" s="18">
        <v>1170000000</v>
      </c>
      <c r="F8" s="8" t="s">
        <v>89</v>
      </c>
    </row>
    <row r="9" spans="1:6" x14ac:dyDescent="0.25">
      <c r="A9" t="s">
        <v>90</v>
      </c>
      <c r="B9" s="18">
        <v>9686000000</v>
      </c>
      <c r="C9" s="18">
        <v>28174000000</v>
      </c>
      <c r="D9" s="18">
        <v>59297000000</v>
      </c>
      <c r="E9" s="18">
        <v>-1484000000</v>
      </c>
      <c r="F9" s="8" t="s">
        <v>91</v>
      </c>
    </row>
    <row r="10" spans="1:6" x14ac:dyDescent="0.25">
      <c r="A10" t="s">
        <v>92</v>
      </c>
      <c r="B10" s="18">
        <v>129938000000</v>
      </c>
      <c r="C10" s="18">
        <v>122724000000</v>
      </c>
      <c r="D10" s="18">
        <v>122522000000</v>
      </c>
      <c r="E10" s="18">
        <v>115462000000</v>
      </c>
      <c r="F10" s="8" t="s">
        <v>93</v>
      </c>
    </row>
    <row r="11" spans="1:6" x14ac:dyDescent="0.25">
      <c r="A11" t="s">
        <v>94</v>
      </c>
      <c r="B11" s="18">
        <v>53293000000</v>
      </c>
      <c r="C11" s="18">
        <v>54317000000</v>
      </c>
      <c r="D11" s="18">
        <v>72341000000</v>
      </c>
      <c r="E11" s="18">
        <v>134240000000</v>
      </c>
      <c r="F11" s="8" t="s">
        <v>95</v>
      </c>
    </row>
    <row r="12" spans="1:6" x14ac:dyDescent="0.25">
      <c r="A12" t="s">
        <v>32</v>
      </c>
      <c r="B12" s="34">
        <v>1584179971</v>
      </c>
      <c r="C12" s="34">
        <v>1638481480</v>
      </c>
      <c r="D12" s="34">
        <v>1849772582</v>
      </c>
      <c r="E12" s="34">
        <v>2088536269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