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<sst xmlns="http://schemas.openxmlformats.org/spreadsheetml/2006/main" count="120" uniqueCount="107">
  <si>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UDR, Inc. (UDR)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</si>
  <si>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</si>
  <si>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</si>
  <si>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</si>
  <si>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</si>
  <si>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</si>
  <si>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</si>
  <si>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</si>
  <si>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</si>
  <si>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</si>
  <si>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</si>
  <si>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</si>
  <si>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</si>
  <si>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</si>
  <si>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</si>
  <si>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</si>
  <si>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</si>
  <si>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</si>
  <si>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</si>
  <si>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</si>
  <si>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</si>
  <si>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</si>
  <si>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</si>
  <si>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</si>
  <si>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1.6x interest cover, capped at 200bp because one year's cover is too noisy to charge more.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</si>
  <si>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</si>
  <si>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</si>
  <si>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</si>
  <si>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</si>
  <si>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</si>
  <si>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</si>
  <si>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</si>
  <si>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</si>
  <si>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</si>
  <si>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</si>
  <si>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</si>
  <si>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</si>
  <si>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</si>
  <si>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</si>
  <si>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</si>
  <si>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</si>
  <si>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</si>
  <si>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</si>
  <si>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</si>
  <si>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</si>
  <si>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</si>
  <si>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</si>
  <si>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</si>
  <si>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</si>
  <si>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</si>
  <si>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</si>
  <si>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</si>
  <si>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</si>
  <si>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</si>
  <si>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</si>
  <si>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</si>
  <si>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</si>
  <si>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</si>
  <si>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</si>
  <si>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</si>
  <si>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</si>
  <si>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</si>
  <si>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</si>
  <si>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</si>
  <si>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</si>
  <si>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</si>
  <si>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</si>
  <si>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</si>
  <si>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</si>
  <si>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</si>
  <si>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</si>
  <si>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</si>
  <si>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</si>
  <si>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</si>
  <si>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</si>
  <si>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</si>
  <si>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</si>
  <si>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</si>
  <si>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</si>
  <si>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</si>
  <si>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</si>
  <si>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</si>
  <si>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</si>
  <si>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</si>
  <si>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</si>
  <si>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</si>
  <si>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</si>
  <si>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</si>
  <si>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</si>
  <si>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</si>
  <si>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</si>
  <si>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</si>
  <si>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</si>
  <si>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</si>
  <si>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</si>
  <si>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</si>
  <si>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</si>
  <si>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</si>
  <si>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</si>
  <si>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</si>
  <si>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</si>
  <si>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</si>
  <si>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</si>
  <si>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</si>
  <si>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</si>
  <si>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16.97% of revenue against depreciation and amortisation of 42.15%. A business cannot depreciate more than it invests indefinitely. Capex has been set to 42.15%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</si>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</sst>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-0.007160671768136395</v>
      </c>
    </row>
    <row r="7" spans="1:2" x14ac:dyDescent="0.25">
      <c r="A7" t="s">
        <v>4</v>
      </c>
      <c r="B7" s="5">
        <v>0.17217327827935766</v>
      </c>
    </row>
    <row r="8" spans="1:2" x14ac:dyDescent="0.25">
      <c r="A8" t="s">
        <v>5</v>
      </c>
      <c r="B8" s="5">
        <v>0.0040872255959545755</v>
      </c>
    </row>
    <row r="9" spans="1:2" x14ac:dyDescent="0.25">
      <c r="A9" t="s">
        <v>6</v>
      </c>
      <c r="B9" s="5">
        <v>0.4215211202244167</v>
      </c>
    </row>
    <row r="10" spans="1:3" x14ac:dyDescent="0.25">
      <c r="A10" t="s">
        <v>7</v>
      </c>
      <c r="B10" s="5">
        <v>0.4215211202244167</v>
      </c>
      <c r="C10" s="6" t="s">
        <v>8</v>
      </c>
    </row>
    <row r="11" spans="1:2" x14ac:dyDescent="0.25">
      <c r="A11" t="s">
        <v>9</v>
      </c>
      <c r="B11" s="5">
        <v>0.5499691167387276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19.006083067806586</v>
      </c>
    </row>
    <row r="14" spans="1:3" x14ac:dyDescent="0.25">
      <c r="A14" t="s">
        <v>12</v>
      </c>
      <c r="B14" s="5">
        <v>0.07843661080370823</v>
      </c>
      <c r="C14" s="6" t="s">
        <v>13</v>
      </c>
    </row>
    <row r="15" spans="1:3" x14ac:dyDescent="0.25">
      <c r="A15" t="s">
        <v>14</v>
      </c>
      <c r="B15" s="5">
        <v>0.4215211202244167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0.80369</v>
      </c>
      <c r="C19" s="6" t="s">
        <v>21</v>
      </c>
    </row>
    <row r="20" spans="1:2" x14ac:dyDescent="0.25">
      <c r="A20" t="s">
        <v>22</v>
      </c>
      <c r="B20" s="9">
        <f>B17+B19*B18</f>
        <v>0.082936087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13048777728</v>
      </c>
    </row>
    <row r="23" spans="1:2" x14ac:dyDescent="0.25">
      <c r="A23" t="s">
        <v>26</v>
      </c>
      <c r="B23" s="10">
        <v>6004332000</v>
      </c>
    </row>
    <row r="24" spans="1:2" x14ac:dyDescent="0.25">
      <c r="A24" t="s">
        <v>27</v>
      </c>
      <c r="B24" s="9">
        <f>B22/(B22+B23)</f>
        <v>0.6848634114998994</v>
      </c>
    </row>
    <row r="25" spans="1:2" x14ac:dyDescent="0.25">
      <c r="A25" t="s">
        <v>28</v>
      </c>
      <c r="B25" s="9">
        <f>1-B24</f>
        <v>0.3151365885001006</v>
      </c>
    </row>
    <row r="26" spans="1:2" x14ac:dyDescent="0.25">
      <c r="A26" t="s">
        <v>29</v>
      </c>
      <c r="B26" s="11">
        <f>B24*B20+B25*B21*(1-B8)</f>
        <v>0.07843661080370823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1712317000</v>
      </c>
      <c r="C29" s="6" t="s">
        <v>32</v>
      </c>
    </row>
    <row r="30" spans="1:2" x14ac:dyDescent="0.25">
      <c r="A30" t="s">
        <v>33</v>
      </c>
      <c r="B30" s="10">
        <v>6003110000</v>
      </c>
    </row>
    <row r="31" spans="1:2" x14ac:dyDescent="0.25">
      <c r="A31" t="s">
        <v>34</v>
      </c>
      <c r="B31" s="12">
        <v>331053000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-0.007160671768136395</v>
      </c>
      <c r="C5" s="5">
        <v>0.02428029326992731</v>
      </c>
      <c r="D5" s="5">
        <v>0.024370256611186396</v>
      </c>
      <c r="E5" s="5">
        <v>0.024460219952445482</v>
      </c>
      <c r="F5" s="5">
        <v>0.02455018329370457</v>
      </c>
      <c r="G5" s="5">
        <v>0.024640146634963656</v>
      </c>
      <c r="H5" s="5">
        <v>0.02473010997622274</v>
      </c>
      <c r="I5" s="5">
        <v>0.02482007331748183</v>
      </c>
      <c r="J5" s="5">
        <v>0.024910036658740916</v>
      </c>
      <c r="K5" s="5">
        <v>0.025</v>
      </c>
    </row>
    <row r="6" spans="1:11" x14ac:dyDescent="0.25">
      <c r="A6" t="s">
        <v>50</v>
      </c>
      <c r="B6" s="18">
        <f>Assumptions!B29*(1+B5)</f>
        <v>1700055660</v>
      </c>
      <c r="C6" s="18">
        <f>B6*(1+C5)</f>
        <v>1741333509.9999998</v>
      </c>
      <c r="D6" s="18">
        <f>C6*(1+D5)</f>
        <v>1783770254.4843576</v>
      </c>
      <c r="E6" s="18">
        <f>D6*(1+E5)</f>
        <v>1827401667.2536747</v>
      </c>
      <c r="F6" s="18">
        <f>E6*(1+F5)</f>
        <v>1872264713.1359737</v>
      </c>
      <c r="G6" s="18">
        <f>F6*(1+G5)</f>
        <v>1918397590.2071123</v>
      </c>
      <c r="H6" s="18">
        <f>G6*(1+H5)</f>
        <v>1965839773.591055</v>
      </c>
      <c r="I6" s="18">
        <f>H6*(1+I5)</f>
        <v>2014632060.9020069</v>
      </c>
      <c r="J6" s="18">
        <f>I6*(1+J5)</f>
        <v>2064816619.3929505</v>
      </c>
      <c r="K6" s="18">
        <f>J6*(1+K5)</f>
        <v>2116437034.877774</v>
      </c>
    </row>
    <row r="7" spans="1:11" x14ac:dyDescent="0.25">
      <c r="A7" t="s">
        <v>4</v>
      </c>
      <c r="B7" s="9">
        <f>Assumptions!B7</f>
        <v>0.17217327827935766</v>
      </c>
      <c r="C7" s="9">
        <f>Assumptions!B7</f>
        <v>0.17217327827935766</v>
      </c>
      <c r="D7" s="9">
        <f>Assumptions!B7</f>
        <v>0.17217327827935766</v>
      </c>
      <c r="E7" s="9">
        <f>Assumptions!B7</f>
        <v>0.17217327827935766</v>
      </c>
      <c r="F7" s="9">
        <f>Assumptions!B7</f>
        <v>0.17217327827935766</v>
      </c>
      <c r="G7" s="9">
        <f>Assumptions!B7</f>
        <v>0.17217327827935766</v>
      </c>
      <c r="H7" s="9">
        <f>Assumptions!B7</f>
        <v>0.17217327827935766</v>
      </c>
      <c r="I7" s="9">
        <f>Assumptions!B7</f>
        <v>0.17217327827935766</v>
      </c>
      <c r="J7" s="9">
        <f>Assumptions!B7</f>
        <v>0.17217327827935766</v>
      </c>
      <c r="K7" s="9">
        <f>Assumptions!B7</f>
        <v>0.17217327827935766</v>
      </c>
    </row>
    <row r="8" spans="1:11" x14ac:dyDescent="0.25">
      <c r="A8" t="s">
        <v>51</v>
      </c>
      <c r="B8" s="18">
        <f>B6*B7</f>
        <v>292704156.23957705</v>
      </c>
      <c r="C8" s="18">
        <f>C6*C7</f>
        <v>299811098.9944006</v>
      </c>
      <c r="D8" s="18">
        <f>D6*D7</f>
        <v>307117572.41177595</v>
      </c>
      <c r="E8" s="18">
        <f>E6*E7</f>
        <v>314629735.7842291</v>
      </c>
      <c r="F8" s="18">
        <f>F6*F7</f>
        <v>322353953.4673817</v>
      </c>
      <c r="G8" s="18">
        <f>G6*G7</f>
        <v>330296802.14917827</v>
      </c>
      <c r="H8" s="18">
        <f>H6*H7</f>
        <v>338465078.39112216</v>
      </c>
      <c r="I8" s="18">
        <f>I6*I7</f>
        <v>346865806.4521971</v>
      </c>
      <c r="J8" s="18">
        <f>J6*J7</f>
        <v>355506246.406585</v>
      </c>
      <c r="K8" s="18">
        <f>K6*K7</f>
        <v>364393902.5667496</v>
      </c>
    </row>
    <row r="9" spans="1:11" x14ac:dyDescent="0.25">
      <c r="A9" t="s">
        <v>52</v>
      </c>
      <c r="B9" s="18">
        <f>B8*(1-Assumptions!B8)</f>
        <v>291507808.3201524</v>
      </c>
      <c r="C9" s="18">
        <f>C8*(1-Assumptions!B8)</f>
        <v>298585703.39663947</v>
      </c>
      <c r="D9" s="18">
        <f>D8*(1-Assumptions!B8)</f>
        <v>305862313.60884714</v>
      </c>
      <c r="E9" s="18">
        <f>E8*(1-Assumptions!B8)</f>
        <v>313343773.0748834</v>
      </c>
      <c r="F9" s="18">
        <f>F8*(1-Assumptions!B8)</f>
        <v>321036420.1378127</v>
      </c>
      <c r="G9" s="18">
        <f>G8*(1-Assumptions!B8)</f>
        <v>328946804.6051722</v>
      </c>
      <c r="H9" s="18">
        <f>H8*(1-Assumptions!B8)</f>
        <v>337081695.2593852</v>
      </c>
      <c r="I9" s="18">
        <f>I8*(1-Assumptions!B8)</f>
        <v>345448087.6497042</v>
      </c>
      <c r="J9" s="18">
        <f>J8*(1-Assumptions!B8)</f>
        <v>354053212.17675024</v>
      </c>
      <c r="K9" s="18">
        <f>K8*(1-Assumptions!B8)</f>
        <v>362904542.481169</v>
      </c>
    </row>
    <row r="10" spans="1:11" x14ac:dyDescent="0.25">
      <c r="A10" t="s">
        <v>53</v>
      </c>
      <c r="B10" s="18">
        <f>B6*Assumptions!B9</f>
        <v>716609366.2470601</v>
      </c>
      <c r="C10" s="18">
        <f>C6*Assumptions!B9</f>
        <v>734008851.8195153</v>
      </c>
      <c r="D10" s="18">
        <f>D6*Assumptions!B9</f>
        <v>751896835.8932393</v>
      </c>
      <c r="E10" s="18">
        <f>E6*Assumptions!B9</f>
        <v>770288397.8807358</v>
      </c>
      <c r="F10" s="18">
        <f>F6*Assumptions!B9</f>
        <v>789199119.2377218</v>
      </c>
      <c r="G10" s="18">
        <f>G6*Assumptions!B9</f>
        <v>808645101.2599235</v>
      </c>
      <c r="H10" s="18">
        <f>H6*Assumptions!B9</f>
        <v>828642983.5458151</v>
      </c>
      <c r="I10" s="18">
        <f>I6*Assumptions!B9</f>
        <v>849209963.1514392</v>
      </c>
      <c r="J10" s="18">
        <f>J6*Assumptions!B9</f>
        <v>870363814.4645095</v>
      </c>
      <c r="K10" s="18">
        <f>K6*Assumptions!B9</f>
        <v>892122909.8261222</v>
      </c>
    </row>
    <row r="11" spans="1:11" x14ac:dyDescent="0.25">
      <c r="A11" t="s">
        <v>54</v>
      </c>
      <c r="B11" s="18">
        <f>-B6*B19</f>
        <v>-716609366.2470601</v>
      </c>
      <c r="C11" s="18">
        <f>-C6*C19</f>
        <v>-744583055.9208751</v>
      </c>
      <c r="D11" s="18">
        <f>-D6*D19</f>
        <v>-773560636.2307771</v>
      </c>
      <c r="E11" s="18">
        <f>-E6*E19</f>
        <v>-803578950.3689357</v>
      </c>
      <c r="F11" s="18">
        <f>-F6*F19</f>
        <v>-834676241.4427004</v>
      </c>
      <c r="G11" s="18">
        <f>-G6*G19</f>
        <v>-866892207.7157303</v>
      </c>
      <c r="H11" s="18">
        <f>-H6*H19</f>
        <v>-900268060.110922</v>
      </c>
      <c r="I11" s="18">
        <f>-I6*I19</f>
        <v>-934846582.071066</v>
      </c>
      <c r="J11" s="18">
        <f>-J6*J19</f>
        <v>-970672191.8773614</v>
      </c>
      <c r="K11" s="18">
        <f>-K6*K19</f>
        <v>-1007791007.530317</v>
      </c>
    </row>
    <row r="12" spans="1:11" x14ac:dyDescent="0.25">
      <c r="A12" t="s">
        <v>55</v>
      </c>
      <c r="B12" s="18">
        <f>-(B6-Assumptions!B29)*Assumptions!B11</f>
        <v>6743358.32983323</v>
      </c>
      <c r="C12" s="18">
        <f>-(C6-B6)*Assumptions!B11</f>
        <v>-22701542.705373555</v>
      </c>
      <c r="D12" s="18">
        <f>-(D6-C6)*Assumptions!B11</f>
        <v>-23338898.88132935</v>
      </c>
      <c r="E12" s="18">
        <f>-(E6-D6)*Assumptions!B11</f>
        <v>-23995929.542804193</v>
      </c>
      <c r="F12" s="18">
        <f>-(F6-E6)*Assumptions!B11</f>
        <v>-24673289.718096964</v>
      </c>
      <c r="G12" s="18">
        <f>-(G6-F6)*Assumptions!B11</f>
        <v>-25371657.655430406</v>
      </c>
      <c r="H12" s="18">
        <f>-(H6-G6)*Assumptions!B11</f>
        <v>-26091735.691823654</v>
      </c>
      <c r="I12" s="18">
        <f>-(I6-H6)*Assumptions!B11</f>
        <v>-26834251.15606647</v>
      </c>
      <c r="J12" s="18">
        <f>-(J6-I6)*Assumptions!B11</f>
        <v>-27599957.307187304</v>
      </c>
      <c r="K12" s="18">
        <f>-(K6-J6)*Assumptions!B11</f>
        <v>-28389634.309874497</v>
      </c>
    </row>
    <row r="13" spans="1:11" x14ac:dyDescent="0.25">
      <c r="A13" s="19" t="s">
        <v>56</v>
      </c>
      <c r="B13" s="20">
        <f>B9+B10+B11+B12</f>
        <v>298251166.6499856</v>
      </c>
      <c r="C13" s="20">
        <f>C9+C10+C11+C12</f>
        <v>265309956.5899062</v>
      </c>
      <c r="D13" s="20">
        <f>D9+D10+D11+D12</f>
        <v>260859614.3899799</v>
      </c>
      <c r="E13" s="20">
        <f>E9+E10+E11+E12</f>
        <v>256057291.0438792</v>
      </c>
      <c r="F13" s="20">
        <f>F9+F10+F11+F12</f>
        <v>250886008.21473718</v>
      </c>
      <c r="G13" s="20">
        <f>G9+G10+G11+G12</f>
        <v>245328040.4939349</v>
      </c>
      <c r="H13" s="20">
        <f>H9+H10+H11+H12</f>
        <v>239364883.0024547</v>
      </c>
      <c r="I13" s="20">
        <f>I9+I10+I11+I12</f>
        <v>232977217.5740109</v>
      </c>
      <c r="J13" s="20">
        <f>J9+J10+J11+J12</f>
        <v>226144877.45671093</v>
      </c>
      <c r="K13" s="20">
        <f>K9+K10+K11+K12</f>
        <v>218846810.46709958</v>
      </c>
    </row>
    <row r="14" spans="1:11" x14ac:dyDescent="0.25">
      <c r="A14" t="s">
        <v>57</v>
      </c>
      <c r="B14" s="21">
        <f>1/(1+Assumptions!$B$26)^(1-0.5*Assumptions!$B$32)</f>
        <v>0.9629476742073785</v>
      </c>
      <c r="C14" s="21">
        <f>1/(1+Assumptions!$B$26)^(2-0.5*Assumptions!$B$32)</f>
        <v>0.8929107789559729</v>
      </c>
      <c r="D14" s="21">
        <f>1/(1+Assumptions!$B$26)^(3-0.5*Assumptions!$B$32)</f>
        <v>0.8279677915334572</v>
      </c>
      <c r="E14" s="21">
        <f>1/(1+Assumptions!$B$26)^(4-0.5*Assumptions!$B$32)</f>
        <v>0.7677482229728938</v>
      </c>
      <c r="F14" s="21">
        <f>1/(1+Assumptions!$B$26)^(5-0.5*Assumptions!$B$32)</f>
        <v>0.711908530628172</v>
      </c>
      <c r="G14" s="21">
        <f>1/(1+Assumptions!$B$26)^(6-0.5*Assumptions!$B$32)</f>
        <v>0.6601301583202187</v>
      </c>
      <c r="H14" s="21">
        <f>1/(1+Assumptions!$B$26)^(7-0.5*Assumptions!$B$32)</f>
        <v>0.6121177190268557</v>
      </c>
      <c r="I14" s="21">
        <f>1/(1+Assumptions!$B$26)^(8-0.5*Assumptions!$B$32)</f>
        <v>0.567597309748853</v>
      </c>
      <c r="J14" s="21">
        <f>1/(1+Assumptions!$B$26)^(9-0.5*Assumptions!$B$32)</f>
        <v>0.5263149489387693</v>
      </c>
      <c r="K14" s="21">
        <f>1/(1+Assumptions!$B$26)^(10-0.5*Assumptions!$B$32)</f>
        <v>0.48803512757836687</v>
      </c>
    </row>
    <row r="15" spans="1:11" x14ac:dyDescent="0.25">
      <c r="A15" s="19" t="s">
        <v>58</v>
      </c>
      <c r="B15" s="20">
        <f>B13*B14</f>
        <v>287200267.2552409</v>
      </c>
      <c r="C15" s="20">
        <f>C13*C14</f>
        <v>236898120.00346848</v>
      </c>
      <c r="D15" s="20">
        <f>D13*D14</f>
        <v>215983358.82674092</v>
      </c>
      <c r="E15" s="20">
        <f>E13*E14</f>
        <v>196587530.17819133</v>
      </c>
      <c r="F15" s="20">
        <f>F13*F14</f>
        <v>178607889.46332106</v>
      </c>
      <c r="G15" s="20">
        <f>G13*G14</f>
        <v>161948438.21165028</v>
      </c>
      <c r="H15" s="20">
        <f>H13*H14</f>
        <v>146519486.19859275</v>
      </c>
      <c r="I15" s="20">
        <f>I13*I14</f>
        <v>132237241.92778179</v>
      </c>
      <c r="J15" s="20">
        <f>J13*J14</f>
        <v>119023429.63139306</v>
      </c>
      <c r="K15" s="20">
        <f>K13*K14</f>
        <v>106804931.06642962</v>
      </c>
    </row>
    <row r="17" spans="1:2" x14ac:dyDescent="0.25">
      <c r="A17" s="22" t="s">
        <v>59</v>
      </c>
      <c r="B17" s="23">
        <f>SUM(B15:K15)</f>
        <v>1781810692.7628102</v>
      </c>
    </row>
    <row r="19" spans="1:11" x14ac:dyDescent="0.25">
      <c r="A19" t="s">
        <v>7</v>
      </c>
      <c r="B19" s="9">
        <f>Assumptions!$B$10+($B$20-Assumptions!$B$10)*0/9</f>
        <v>0.4215211202244167</v>
      </c>
      <c r="C19" s="9">
        <f>Assumptions!$B$10+($B$20-Assumptions!$B$10)*1/9</f>
        <v>0.42759359516424583</v>
      </c>
      <c r="D19" s="9">
        <f>Assumptions!$B$10+($B$20-Assumptions!$B$10)*2/9</f>
        <v>0.43366607010407504</v>
      </c>
      <c r="E19" s="9">
        <f>Assumptions!$B$10+($B$20-Assumptions!$B$10)*3/9</f>
        <v>0.4397385450439042</v>
      </c>
      <c r="F19" s="9">
        <f>Assumptions!$B$10+($B$20-Assumptions!$B$10)*4/9</f>
        <v>0.44581101998373335</v>
      </c>
      <c r="G19" s="9">
        <f>Assumptions!$B$10+($B$20-Assumptions!$B$10)*5/9</f>
        <v>0.45188349492356256</v>
      </c>
      <c r="H19" s="9">
        <f>Assumptions!$B$10+($B$20-Assumptions!$B$10)*6/9</f>
        <v>0.4579559698633917</v>
      </c>
      <c r="I19" s="9">
        <f>Assumptions!$B$10+($B$20-Assumptions!$B$10)*7/9</f>
        <v>0.46402844480322086</v>
      </c>
      <c r="J19" s="9">
        <f>Assumptions!$B$10+($B$20-Assumptions!$B$10)*8/9</f>
        <v>0.47010091974305007</v>
      </c>
      <c r="K19" s="9">
        <f>Assumptions!$B$10+($B$20-Assumptions!$B$10)*9/9</f>
        <v>0.4761733946828792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0.4761733946828792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218846810.46709958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362904542.481169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0.3187287128272769</v>
      </c>
    </row>
    <row r="7" spans="1:2" x14ac:dyDescent="0.25">
      <c r="A7" t="s">
        <v>66</v>
      </c>
      <c r="B7" s="18">
        <f>-MAX(B5,0)*B6</f>
        <v>-115668097.70419481</v>
      </c>
    </row>
    <row r="8" spans="1:2" x14ac:dyDescent="0.25">
      <c r="A8" t="s">
        <v>67</v>
      </c>
      <c r="B8" s="18">
        <f>IF(OR(Assumptions!$B$33=0,Assumptions!B12&lt;=0),B5,MAX(B5+B7,0))</f>
        <v>247236444.77697417</v>
      </c>
    </row>
    <row r="9" spans="1:2" x14ac:dyDescent="0.25">
      <c r="A9" t="s">
        <v>68</v>
      </c>
      <c r="B9" s="18">
        <f>B8*(1+Assumptions!B12)/(Assumptions!B26-Assumptions!B12)</f>
        <v>4742392005.871986</v>
      </c>
    </row>
    <row r="10" spans="1:2" x14ac:dyDescent="0.25">
      <c r="A10" t="s">
        <v>69</v>
      </c>
      <c r="B10" s="18">
        <f>B9/(1+Assumptions!B26)^(10-0.5*Assumptions!B32)</f>
        <v>2314453887.612362</v>
      </c>
    </row>
    <row r="11" spans="1:2" x14ac:dyDescent="0.25">
      <c r="A11" t="s">
        <v>70</v>
      </c>
      <c r="B11" s="18">
        <f>Forecast!B17+B10</f>
        <v>4096264580.375172</v>
      </c>
    </row>
    <row r="12" spans="1:2" x14ac:dyDescent="0.25">
      <c r="A12" t="s">
        <v>71</v>
      </c>
      <c r="B12" s="18">
        <f>-Assumptions!B30</f>
        <v>-6003110000</v>
      </c>
    </row>
    <row r="13" spans="1:2" x14ac:dyDescent="0.25">
      <c r="A13" t="s">
        <v>72</v>
      </c>
      <c r="B13" s="18">
        <f>B11+B12</f>
        <v>-1906845419.6248279</v>
      </c>
    </row>
    <row r="14" spans="1:2" x14ac:dyDescent="0.25">
      <c r="A14" s="19" t="s">
        <v>73</v>
      </c>
      <c r="B14" s="24">
        <f>B13/Assumptions!B31</f>
        <v>-5.7599400084724435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1256516812.3928719</v>
      </c>
    </row>
    <row r="18" spans="1:2" x14ac:dyDescent="0.25">
      <c r="A18" t="s">
        <v>68</v>
      </c>
      <c r="B18" s="18">
        <f>B17*Assumptions!B13</f>
        <v>23881462912.434467</v>
      </c>
    </row>
    <row r="19" spans="1:2" x14ac:dyDescent="0.25">
      <c r="A19" t="s">
        <v>69</v>
      </c>
      <c r="B19" s="18">
        <f>B18/(1+Assumptions!B26)^(10-0.5*Assumptions!B32)</f>
        <v>11654992799.227991</v>
      </c>
    </row>
    <row r="20" spans="1:2" x14ac:dyDescent="0.25">
      <c r="A20" t="s">
        <v>70</v>
      </c>
      <c r="B20" s="18">
        <f>Forecast!B17+B19</f>
        <v>13436803491.9908</v>
      </c>
    </row>
    <row r="21" spans="1:2" x14ac:dyDescent="0.25">
      <c r="A21" t="s">
        <v>71</v>
      </c>
      <c r="B21" s="18">
        <f>-Assumptions!B30</f>
        <v>-6003110000</v>
      </c>
    </row>
    <row r="22" spans="1:2" x14ac:dyDescent="0.25">
      <c r="A22" t="s">
        <v>72</v>
      </c>
      <c r="B22" s="18">
        <f>B20+B21</f>
        <v>7433693491.990801</v>
      </c>
    </row>
    <row r="23" spans="1:2" x14ac:dyDescent="0.25">
      <c r="A23" s="19" t="s">
        <v>73</v>
      </c>
      <c r="B23" s="25">
        <f>B22/Assumptions!B31</f>
        <v>22.454693030997458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35.52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-5.7599400084724435</v>
      </c>
    </row>
    <row r="29" spans="1:2" x14ac:dyDescent="0.25">
      <c r="A29" s="19" t="s">
        <v>81</v>
      </c>
      <c r="B29" s="11">
        <f>B28/B26-1</f>
        <v>-1.162160473211499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0.058437</v>
      </c>
      <c r="B5" s="31">
        <v>-0.9909380602439457</v>
      </c>
      <c r="C5" s="31">
        <v>-1.2350052816165211</v>
      </c>
      <c r="D5" s="31">
        <v>-1.4790725029891023</v>
      </c>
      <c r="E5" s="31">
        <v>-1.7231397243616806</v>
      </c>
      <c r="F5" s="31">
        <v>-1.967206945734259</v>
      </c>
    </row>
    <row r="6" spans="1:6" x14ac:dyDescent="0.25">
      <c r="A6" s="30">
        <v>0.068437</v>
      </c>
      <c r="B6" s="31">
        <v>-3.5418812035588214</v>
      </c>
      <c r="C6" s="31">
        <v>-3.738816579952449</v>
      </c>
      <c r="D6" s="31">
        <v>-3.9357519563460825</v>
      </c>
      <c r="E6" s="31">
        <v>-4.13268733273971</v>
      </c>
      <c r="F6" s="31">
        <v>-4.329622709133344</v>
      </c>
    </row>
    <row r="7" spans="1:6" x14ac:dyDescent="0.25">
      <c r="A7" s="30">
        <v>0.078437</v>
      </c>
      <c r="B7" s="31">
        <v>-5.434971458349818</v>
      </c>
      <c r="C7" s="31">
        <v>-5.597486652614588</v>
      </c>
      <c r="D7" s="32">
        <v>-5.760001846879361</v>
      </c>
      <c r="E7" s="31">
        <v>-5.9225170411441335</v>
      </c>
      <c r="F7" s="31">
        <v>-6.085032235408902</v>
      </c>
    </row>
    <row r="8" spans="1:6" x14ac:dyDescent="0.25">
      <c r="A8" s="30">
        <v>0.088437</v>
      </c>
      <c r="B8" s="31">
        <v>-6.893992324807337</v>
      </c>
      <c r="C8" s="31">
        <v>-7.030437115541054</v>
      </c>
      <c r="D8" s="31">
        <v>-7.166881906274773</v>
      </c>
      <c r="E8" s="31">
        <v>-7.3033266970084885</v>
      </c>
      <c r="F8" s="31">
        <v>-7.439771487742204</v>
      </c>
    </row>
    <row r="9" spans="1:6" x14ac:dyDescent="0.25">
      <c r="A9" s="30">
        <v>0.098437</v>
      </c>
      <c r="B9" s="31">
        <v>-8.05173470894593</v>
      </c>
      <c r="C9" s="31">
        <v>-8.167873520310868</v>
      </c>
      <c r="D9" s="31">
        <v>-8.284012331675811</v>
      </c>
      <c r="E9" s="31">
        <v>-8.40015114304075</v>
      </c>
      <c r="F9" s="31">
        <v>-8.516289954405691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1712317000</v>
      </c>
      <c r="C5" s="18">
        <v>1671842000</v>
      </c>
      <c r="D5" s="18">
        <v>1627501000</v>
      </c>
      <c r="E5" s="18">
        <v>1517386000</v>
      </c>
      <c r="F5" s="6" t="s">
        <v>91</v>
      </c>
    </row>
    <row r="6" spans="1:6" x14ac:dyDescent="0.25">
      <c r="A6" t="s">
        <v>51</v>
      </c>
      <c r="B6" s="18">
        <v>322375000</v>
      </c>
      <c r="C6" s="18">
        <v>282881000</v>
      </c>
      <c r="D6" s="18">
        <v>286953000</v>
      </c>
      <c r="E6" s="18">
        <v>235053000</v>
      </c>
      <c r="F6" s="6" t="s">
        <v>92</v>
      </c>
    </row>
    <row r="7" spans="1:6" x14ac:dyDescent="0.25">
      <c r="A7" t="s">
        <v>93</v>
      </c>
      <c r="B7" s="18">
        <v>680035000</v>
      </c>
      <c r="C7" s="18">
        <v>695473000</v>
      </c>
      <c r="D7" s="18">
        <v>691838000</v>
      </c>
      <c r="E7" s="18">
        <v>679572000</v>
      </c>
      <c r="F7" s="6" t="s">
        <v>94</v>
      </c>
    </row>
    <row r="8" spans="1:6" x14ac:dyDescent="0.25">
      <c r="A8" t="s">
        <v>95</v>
      </c>
      <c r="B8" s="18">
        <v>288941000</v>
      </c>
      <c r="C8" s="18">
        <v>271687000</v>
      </c>
      <c r="D8" s="18">
        <v>312347000</v>
      </c>
      <c r="E8" s="18">
        <v>236013000</v>
      </c>
      <c r="F8" s="6" t="s">
        <v>96</v>
      </c>
    </row>
    <row r="9" spans="1:6" x14ac:dyDescent="0.25">
      <c r="A9" t="s">
        <v>97</v>
      </c>
      <c r="B9" s="18">
        <v>22260000</v>
      </c>
      <c r="C9" s="18">
        <v>35903000</v>
      </c>
      <c r="D9" s="18">
        <v>36407000</v>
      </c>
      <c r="E9" s="18">
        <v>3348000</v>
      </c>
      <c r="F9" s="6" t="s">
        <v>98</v>
      </c>
    </row>
    <row r="10" spans="1:6" x14ac:dyDescent="0.25">
      <c r="A10" t="s">
        <v>99</v>
      </c>
      <c r="B10" s="18">
        <v>6004332000</v>
      </c>
      <c r="C10" s="18">
        <v>6009240000</v>
      </c>
      <c r="D10" s="18">
        <v>5984545000</v>
      </c>
      <c r="E10" s="18">
        <v>5676541000</v>
      </c>
      <c r="F10" s="6" t="s">
        <v>100</v>
      </c>
    </row>
    <row r="11" spans="1:6" x14ac:dyDescent="0.25">
      <c r="A11" t="s">
        <v>101</v>
      </c>
      <c r="B11" s="18">
        <v>1222000</v>
      </c>
      <c r="C11" s="18">
        <v>1326000</v>
      </c>
      <c r="D11" s="18">
        <v>2922000</v>
      </c>
      <c r="E11" s="18">
        <v>1193000</v>
      </c>
      <c r="F11" s="6" t="s">
        <v>102</v>
      </c>
    </row>
    <row r="12" spans="1:6" x14ac:dyDescent="0.25">
      <c r="A12" t="s">
        <v>34</v>
      </c>
      <c r="B12" s="34">
        <v>331053000</v>
      </c>
      <c r="C12" s="34">
        <v>330116000</v>
      </c>
      <c r="D12" s="34">
        <v>329104000</v>
      </c>
      <c r="E12" s="34">
        <v>322700000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