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<sst xmlns="http://schemas.openxmlformats.org/spreadsheetml/2006/main" count="112" uniqueCount="100">
  <si>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Universal Health Services, Inc. (UHS)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</si>
  <si>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</si>
  <si>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</si>
  <si>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</si>
  <si>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</si>
  <si>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</si>
  <si>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</si>
  <si>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</si>
  <si>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</si>
  <si>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</si>
  <si>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</si>
  <si>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</si>
  <si>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</si>
  <si>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</si>
  <si>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</si>
  <si>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</si>
  <si>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</si>
  <si>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</si>
  <si>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</si>
  <si>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</si>
  <si>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</si>
  <si>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</si>
  <si>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</si>
  <si>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</si>
  <si>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</si>
  <si>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</si>
  <si>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</si>
  <si>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</si>
  <si>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</si>
  <si>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</si>
  <si>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</si>
  <si>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</si>
  <si>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</si>
  <si>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</si>
  <si>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</si>
  <si>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</si>
  <si>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</si>
  <si>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</si>
  <si>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</si>
  <si>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</si>
  <si>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</si>
  <si>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</si>
  <si>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</si>
  <si>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</si>
  <si>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</si>
  <si>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</si>
  <si>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</si>
  <si>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</si>
  <si>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</si>
  <si>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</si>
  <si>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</si>
  <si>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</si>
  <si>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</si>
  <si>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</si>
  <si>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</si>
  <si>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</si>
  <si>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</si>
  <si>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</si>
  <si>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</si>
  <si>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</si>
  <si>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</si>
  <si>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</si>
  <si>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</si>
  <si>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</si>
  <si>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</si>
  <si>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</si>
  <si>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</si>
  <si>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</si>
  <si>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</si>
  <si>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</si>
  <si>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</si>
  <si>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</si>
  <si>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</si>
  <si>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</si>
  <si>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</si>
  <si>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</si>
  <si>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</si>
  <si>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</si>
  <si>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</si>
  <si>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</si>
  <si>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</si>
  <si>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</si>
  <si>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</si>
  <si>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</si>
  <si>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</si>
  <si>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</si>
  <si>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</si>
  <si>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</si>
  <si>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</si>
  <si>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</si>
  <si>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</si>
  <si>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</si>
  <si>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</si>
  <si>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</si>
  <si>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</si>
  <si>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</si>
  <si>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</si>
  <si>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</si>
  <si>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5.7% of revenue against depreciation of 3.9%.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</si>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</sst>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0.09025656499826118</v>
      </c>
    </row>
    <row r="7" spans="1:2" x14ac:dyDescent="0.25">
      <c r="A7" t="s">
        <v>5</v>
      </c>
      <c r="B7" s="6">
        <v>0.0945701558642135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0.038944760214704915</v>
      </c>
    </row>
    <row r="10" spans="1:2" x14ac:dyDescent="0.25">
      <c r="A10" t="s">
        <v>8</v>
      </c>
      <c r="B10" s="6">
        <v>0.05657949511932368</v>
      </c>
    </row>
    <row r="11" spans="1:2" x14ac:dyDescent="0.25">
      <c r="A11" t="s">
        <v>9</v>
      </c>
      <c r="B11" s="6">
        <v>-0.01933818714126122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5.910305986241359</v>
      </c>
    </row>
    <row r="14" spans="1:3" x14ac:dyDescent="0.25">
      <c r="A14" t="s">
        <v>12</v>
      </c>
      <c r="B14" s="6">
        <v>0.10144161121149012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1.04087</v>
      </c>
      <c r="C19" s="8" t="s">
        <v>19</v>
      </c>
    </row>
    <row r="20" spans="1:2" x14ac:dyDescent="0.25">
      <c r="A20" t="s">
        <v>20</v>
      </c>
      <c r="B20" s="10">
        <f>B17+B19*B18</f>
        <v>0.10722785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10413493248</v>
      </c>
    </row>
    <row r="23" spans="1:2" x14ac:dyDescent="0.25">
      <c r="A23" t="s">
        <v>24</v>
      </c>
      <c r="B23" s="11">
        <v>5166503000</v>
      </c>
    </row>
    <row r="24" spans="1:2" x14ac:dyDescent="0.25">
      <c r="A24" t="s">
        <v>25</v>
      </c>
      <c r="B24" s="10">
        <f>B22/(B22+B23)</f>
        <v>0.6683886877916788</v>
      </c>
    </row>
    <row r="25" spans="1:2" x14ac:dyDescent="0.25">
      <c r="A25" t="s">
        <v>26</v>
      </c>
      <c r="B25" s="10">
        <f>1-B24</f>
        <v>0.3316113122083212</v>
      </c>
    </row>
    <row r="26" spans="1:2" x14ac:dyDescent="0.25">
      <c r="A26" t="s">
        <v>27</v>
      </c>
      <c r="B26" s="12">
        <f>B24*B20+B25*B21*(1-B8)</f>
        <v>0.08476328932971877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17364829000</v>
      </c>
      <c r="C29" s="8" t="s">
        <v>30</v>
      </c>
    </row>
    <row r="30" spans="1:2" x14ac:dyDescent="0.25">
      <c r="A30" t="s">
        <v>31</v>
      </c>
      <c r="B30" s="11">
        <v>5028706000</v>
      </c>
    </row>
    <row r="31" spans="1:2" x14ac:dyDescent="0.25">
      <c r="A31" t="s">
        <v>32</v>
      </c>
      <c r="B31" s="13">
        <v>64462000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0.09025656499826118</v>
      </c>
      <c r="C5" s="10">
        <f>Assumptions!B6</f>
        <v>0.09025656499826118</v>
      </c>
      <c r="D5" s="10">
        <f>Assumptions!B6</f>
        <v>0.09025656499826118</v>
      </c>
      <c r="E5" s="10">
        <f>Assumptions!B6</f>
        <v>0.09025656499826118</v>
      </c>
      <c r="F5" s="10">
        <f>Assumptions!B6</f>
        <v>0.09025656499826118</v>
      </c>
    </row>
    <row r="6" spans="1:6" x14ac:dyDescent="0.25">
      <c r="A6" t="s">
        <v>43</v>
      </c>
      <c r="B6" s="18">
        <f>Assumptions!B29*(1+B5)</f>
        <v>18932118817.32219</v>
      </c>
      <c r="C6" s="18">
        <f>B6*(1+C5)</f>
        <v>20640866829.912632</v>
      </c>
      <c r="D6" s="18">
        <f>C6*(1+D5)</f>
        <v>22503840568.567093</v>
      </c>
      <c r="E6" s="18">
        <f>D6*(1+E5)</f>
        <v>24534959917.554474</v>
      </c>
      <c r="F6" s="18">
        <f>E6*(1+F5)</f>
        <v>26749401122.082962</v>
      </c>
    </row>
    <row r="7" spans="1:6" x14ac:dyDescent="0.25">
      <c r="A7" t="s">
        <v>5</v>
      </c>
      <c r="B7" s="10">
        <f>Assumptions!B7</f>
        <v>0.0945701558642135</v>
      </c>
      <c r="C7" s="10">
        <f>Assumptions!B7</f>
        <v>0.0945701558642135</v>
      </c>
      <c r="D7" s="10">
        <f>Assumptions!B7</f>
        <v>0.0945701558642135</v>
      </c>
      <c r="E7" s="10">
        <f>Assumptions!B7</f>
        <v>0.0945701558642135</v>
      </c>
      <c r="F7" s="10">
        <f>Assumptions!B7</f>
        <v>0.0945701558642135</v>
      </c>
    </row>
    <row r="8" spans="1:6" x14ac:dyDescent="0.25">
      <c r="A8" t="s">
        <v>44</v>
      </c>
      <c r="B8" s="18">
        <f>B6*B7</f>
        <v>1790413427.3939688</v>
      </c>
      <c r="C8" s="18">
        <f>C6*C7</f>
        <v>1952009993.2773118</v>
      </c>
      <c r="D8" s="18">
        <f>D6*D7</f>
        <v>2128191710.1128008</v>
      </c>
      <c r="E8" s="18">
        <f>E6*E7</f>
        <v>2320274983.5253572</v>
      </c>
      <c r="F8" s="18">
        <f>F6*F7</f>
        <v>2529695033.389753</v>
      </c>
    </row>
    <row r="9" spans="1:6" x14ac:dyDescent="0.25">
      <c r="A9" t="s">
        <v>45</v>
      </c>
      <c r="B9" s="18">
        <f>B8*(1-Assumptions!B8)</f>
        <v>1414426607.6412354</v>
      </c>
      <c r="C9" s="18">
        <f>C8*(1-Assumptions!B8)</f>
        <v>1542087894.6890764</v>
      </c>
      <c r="D9" s="18">
        <f>D8*(1-Assumptions!B8)</f>
        <v>1681271450.9891129</v>
      </c>
      <c r="E9" s="18">
        <f>E8*(1-Assumptions!B8)</f>
        <v>1833017236.9850323</v>
      </c>
      <c r="F9" s="18">
        <f>F8*(1-Assumptions!B8)</f>
        <v>1998459076.377905</v>
      </c>
    </row>
    <row r="10" spans="1:6" x14ac:dyDescent="0.25">
      <c r="A10" t="s">
        <v>46</v>
      </c>
      <c r="B10" s="18">
        <f>B6*Assumptions!B9</f>
        <v>737306827.6969155</v>
      </c>
      <c r="C10" s="18">
        <f>C6*Assumptions!B9</f>
        <v>803853609.3146038</v>
      </c>
      <c r="D10" s="18">
        <f>D6*Assumptions!B9</f>
        <v>876406674.8527942</v>
      </c>
      <c r="E10" s="18">
        <f>E6*Assumptions!B9</f>
        <v>955508130.8665552</v>
      </c>
      <c r="F10" s="18">
        <f>F6*Assumptions!B9</f>
        <v>1041749012.5864795</v>
      </c>
    </row>
    <row r="11" spans="1:6" x14ac:dyDescent="0.25">
      <c r="A11" t="s">
        <v>47</v>
      </c>
      <c r="B11" s="18">
        <f>-B6*Assumptions!B10</f>
        <v>-1071169724.2231369</v>
      </c>
      <c r="C11" s="18">
        <f>-C6*Assumptions!B10</f>
        <v>-1167849824.061652</v>
      </c>
      <c r="D11" s="18">
        <f>-D6*Assumptions!B10</f>
        <v>-1273255937.6152802</v>
      </c>
      <c r="E11" s="18">
        <f>-E6*Assumptions!B10</f>
        <v>-1388175644.9080756</v>
      </c>
      <c r="F11" s="18">
        <f>-F6*Assumptions!B10</f>
        <v>-1513467610.2317245</v>
      </c>
    </row>
    <row r="12" spans="1:6" x14ac:dyDescent="0.25">
      <c r="A12" t="s">
        <v>48</v>
      </c>
      <c r="B12" s="18">
        <f>-(B6-Assumptions!B29)*Assumptions!B11</f>
        <v>30308543.79196961</v>
      </c>
      <c r="C12" s="18">
        <f>-(C6-B6)*Assumptions!B11</f>
        <v>33044088.844732165</v>
      </c>
      <c r="D12" s="18">
        <f>-(D6-C6)*Assumptions!B11</f>
        <v>36026534.79735504</v>
      </c>
      <c r="E12" s="18">
        <f>-(E6-D6)*Assumptions!B11</f>
        <v>39278166.07695463</v>
      </c>
      <c r="F12" s="18">
        <f>-(F6-E6)*Assumptions!B11</f>
        <v>42823278.42649182</v>
      </c>
    </row>
    <row r="13" spans="1:6" x14ac:dyDescent="0.25">
      <c r="A13" s="19" t="s">
        <v>49</v>
      </c>
      <c r="B13" s="20">
        <f>B9+B10+B11+B12</f>
        <v>1110872254.9069836</v>
      </c>
      <c r="C13" s="20">
        <f>C9+C10+C11+C12</f>
        <v>1211135768.7867603</v>
      </c>
      <c r="D13" s="20">
        <f>D9+D10+D11+D12</f>
        <v>1320448723.0239818</v>
      </c>
      <c r="E13" s="20">
        <f>E9+E10+E11+E12</f>
        <v>1439627889.0204663</v>
      </c>
      <c r="F13" s="20">
        <f>F9+F10+F11+F12</f>
        <v>1569563757.1591518</v>
      </c>
    </row>
    <row r="14" spans="1:6" x14ac:dyDescent="0.25">
      <c r="A14" t="s">
        <v>50</v>
      </c>
      <c r="B14" s="21">
        <f>1/(1+Assumptions!$B$26)^(1-0.5*Assumptions!$B$32)</f>
        <v>0.9601354618921543</v>
      </c>
      <c r="C14" s="21">
        <f>1/(1+Assumptions!$B$26)^(2-0.5*Assumptions!$B$32)</f>
        <v>0.8851105778896954</v>
      </c>
      <c r="D14" s="21">
        <f>1/(1+Assumptions!$B$26)^(3-0.5*Assumptions!$B$32)</f>
        <v>0.8159481304318568</v>
      </c>
      <c r="E14" s="21">
        <f>1/(1+Assumptions!$B$26)^(4-0.5*Assumptions!$B$32)</f>
        <v>0.7521900293436696</v>
      </c>
      <c r="F14" s="21">
        <f>1/(1+Assumptions!$B$26)^(5-0.5*Assumptions!$B$32)</f>
        <v>0.693413979568254</v>
      </c>
    </row>
    <row r="15" spans="1:6" x14ac:dyDescent="0.25">
      <c r="A15" s="19" t="s">
        <v>51</v>
      </c>
      <c r="B15" s="20">
        <f>B13*B14</f>
        <v>1066587845.5682956</v>
      </c>
      <c r="C15" s="20">
        <f>C13*C14</f>
        <v>1071989080.21373</v>
      </c>
      <c r="D15" s="20">
        <f>D13*D14</f>
        <v>1077417666.8825507</v>
      </c>
      <c r="E15" s="20">
        <f>E13*E14</f>
        <v>1082873744.0862696</v>
      </c>
      <c r="F15" s="20">
        <f>F13*F14</f>
        <v>1088357451.037828</v>
      </c>
    </row>
    <row r="17" spans="1:2" x14ac:dyDescent="0.25">
      <c r="A17" s="22" t="s">
        <v>52</v>
      </c>
      <c r="B17" s="23">
        <f>SUM(B15:F15)</f>
        <v>5387225787.788673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1569563757.1591518</v>
      </c>
    </row>
    <row r="5" spans="1:2" x14ac:dyDescent="0.25">
      <c r="A5" t="s">
        <v>56</v>
      </c>
      <c r="B5" s="18">
        <f>IF(Assumptions!$B$33=0,B4,B4-Forecast!F11-Forecast!F10-Forecast!F12)</f>
        <v>1998459076.377905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0.24644718968312576</v>
      </c>
    </row>
    <row r="7" spans="1:2" x14ac:dyDescent="0.25">
      <c r="A7" t="s">
        <v>58</v>
      </c>
      <c r="B7" s="18">
        <f>-MAX(Forecast!F9,0)*B6</f>
        <v>-492514623.07006985</v>
      </c>
    </row>
    <row r="8" spans="1:2" x14ac:dyDescent="0.25">
      <c r="A8" t="s">
        <v>59</v>
      </c>
      <c r="B8" s="18">
        <f>IF(OR(Assumptions!$B$33=0,Assumptions!B12&lt;=0),B5,MAX(B5+B7,0))</f>
        <v>1505944453.307835</v>
      </c>
    </row>
    <row r="9" spans="1:2" x14ac:dyDescent="0.25">
      <c r="A9" t="s">
        <v>60</v>
      </c>
      <c r="B9" s="18">
        <f>B8*(1+Assumptions!B12)/(Assumptions!B26-Assumptions!B12)</f>
        <v>25828448901.53898</v>
      </c>
    </row>
    <row r="10" spans="1:2" x14ac:dyDescent="0.25">
      <c r="A10" t="s">
        <v>61</v>
      </c>
      <c r="B10" s="18">
        <f>B9/(1+Assumptions!B26)^(5-0.5*Assumptions!B32)</f>
        <v>17909807538.89144</v>
      </c>
    </row>
    <row r="11" spans="1:2" x14ac:dyDescent="0.25">
      <c r="A11" t="s">
        <v>62</v>
      </c>
      <c r="B11" s="18">
        <f>Forecast!B17+B10</f>
        <v>23297033326.680115</v>
      </c>
    </row>
    <row r="12" spans="1:2" x14ac:dyDescent="0.25">
      <c r="A12" t="s">
        <v>63</v>
      </c>
      <c r="B12" s="18">
        <f>-Assumptions!B30</f>
        <v>-5028706000</v>
      </c>
    </row>
    <row r="13" spans="1:2" x14ac:dyDescent="0.25">
      <c r="A13" t="s">
        <v>64</v>
      </c>
      <c r="B13" s="18">
        <f>B11+B12</f>
        <v>18268327326.680115</v>
      </c>
    </row>
    <row r="14" spans="1:2" x14ac:dyDescent="0.25">
      <c r="A14" s="19" t="s">
        <v>65</v>
      </c>
      <c r="B14" s="24">
        <f>B13/Assumptions!B31</f>
        <v>283.3968435152511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3571444045.9762325</v>
      </c>
    </row>
    <row r="18" spans="1:2" x14ac:dyDescent="0.25">
      <c r="A18" t="s">
        <v>60</v>
      </c>
      <c r="B18" s="18">
        <f>B17*Assumptions!B13</f>
        <v>21108327124.459385</v>
      </c>
    </row>
    <row r="19" spans="1:2" x14ac:dyDescent="0.25">
      <c r="A19" t="s">
        <v>61</v>
      </c>
      <c r="B19" s="18">
        <f>B18/(1+Assumptions!B26)^(5-0.5*Assumptions!B32)</f>
        <v>14636809113.399902</v>
      </c>
    </row>
    <row r="20" spans="1:2" x14ac:dyDescent="0.25">
      <c r="A20" t="s">
        <v>62</v>
      </c>
      <c r="B20" s="18">
        <f>Forecast!B17+B19</f>
        <v>20024034901.188576</v>
      </c>
    </row>
    <row r="21" spans="1:2" x14ac:dyDescent="0.25">
      <c r="A21" t="s">
        <v>63</v>
      </c>
      <c r="B21" s="18">
        <f>-Assumptions!B30</f>
        <v>-5028706000</v>
      </c>
    </row>
    <row r="22" spans="1:2" x14ac:dyDescent="0.25">
      <c r="A22" t="s">
        <v>64</v>
      </c>
      <c r="B22" s="18">
        <f>B20+B21</f>
        <v>14995328901.188576</v>
      </c>
    </row>
    <row r="23" spans="1:2" x14ac:dyDescent="0.25">
      <c r="A23" s="19" t="s">
        <v>65</v>
      </c>
      <c r="B23" s="25">
        <f>B22/Assumptions!B31</f>
        <v>232.62276847117025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176.69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283.3968435152511</v>
      </c>
    </row>
    <row r="29" spans="1:2" x14ac:dyDescent="0.25">
      <c r="A29" s="19" t="s">
        <v>73</v>
      </c>
      <c r="B29" s="12">
        <f>B28/B26-1</f>
        <v>0.603921237847366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0.064763</v>
      </c>
      <c r="B5" s="31">
        <v>415.862825991461</v>
      </c>
      <c r="C5" s="31">
        <v>437.2147752054091</v>
      </c>
      <c r="D5" s="31">
        <v>463.64677481823213</v>
      </c>
      <c r="E5" s="31">
        <v>497.3508323086615</v>
      </c>
      <c r="F5" s="31">
        <v>541.9919299756625</v>
      </c>
    </row>
    <row r="6" spans="1:6" x14ac:dyDescent="0.25">
      <c r="A6" s="30">
        <v>0.074763</v>
      </c>
      <c r="B6" s="31">
        <v>331.8927138649452</v>
      </c>
      <c r="C6" s="31">
        <v>342.67559543560554</v>
      </c>
      <c r="D6" s="31">
        <v>355.4033350946186</v>
      </c>
      <c r="E6" s="31">
        <v>370.7276512550778</v>
      </c>
      <c r="F6" s="31">
        <v>389.6280637600959</v>
      </c>
    </row>
    <row r="7" spans="1:6" x14ac:dyDescent="0.25">
      <c r="A7" s="30">
        <v>0.084763</v>
      </c>
      <c r="B7" s="31">
        <v>272.0832530111427</v>
      </c>
      <c r="C7" s="31">
        <v>277.3859233889017</v>
      </c>
      <c r="D7" s="32">
        <v>283.39857801828407</v>
      </c>
      <c r="E7" s="31">
        <v>290.3156869570726</v>
      </c>
      <c r="F7" s="31">
        <v>298.40987875742655</v>
      </c>
    </row>
    <row r="8" spans="1:6" x14ac:dyDescent="0.25">
      <c r="A8" s="30">
        <v>0.094763</v>
      </c>
      <c r="B8" s="31">
        <v>227.34316520073673</v>
      </c>
      <c r="C8" s="31">
        <v>229.60648130065078</v>
      </c>
      <c r="D8" s="31">
        <v>232.04848638264903</v>
      </c>
      <c r="E8" s="31">
        <v>234.71056726839294</v>
      </c>
      <c r="F8" s="31">
        <v>237.64796109551287</v>
      </c>
    </row>
    <row r="9" spans="1:6" x14ac:dyDescent="0.25">
      <c r="A9" s="30">
        <v>0.104763</v>
      </c>
      <c r="B9" s="31">
        <v>193.68226412233813</v>
      </c>
      <c r="C9" s="31">
        <v>194.62728742652166</v>
      </c>
      <c r="D9" s="31">
        <v>195.57231073070508</v>
      </c>
      <c r="E9" s="31">
        <v>196.51733403488865</v>
      </c>
      <c r="F9" s="31">
        <v>197.46235733907213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17364829000</v>
      </c>
      <c r="C5" s="18">
        <v>15827935000</v>
      </c>
      <c r="D5" s="18">
        <v>14281976000</v>
      </c>
      <c r="E5" s="18">
        <v>13399370000</v>
      </c>
      <c r="F5" s="8" t="s">
        <v>84</v>
      </c>
    </row>
    <row r="6" spans="1:6" x14ac:dyDescent="0.25">
      <c r="A6" t="s">
        <v>44</v>
      </c>
      <c r="B6" s="18">
        <v>1994015000</v>
      </c>
      <c r="C6" s="18">
        <v>1681814000</v>
      </c>
      <c r="D6" s="18">
        <v>1175381000</v>
      </c>
      <c r="E6" s="18">
        <v>1003555000</v>
      </c>
      <c r="F6" s="8" t="s">
        <v>85</v>
      </c>
    </row>
    <row r="7" spans="1:6" x14ac:dyDescent="0.25">
      <c r="A7" t="s">
        <v>86</v>
      </c>
      <c r="B7" s="18">
        <v>618743000</v>
      </c>
      <c r="C7" s="18">
        <v>584831000</v>
      </c>
      <c r="D7" s="18">
        <v>568041000</v>
      </c>
      <c r="E7" s="18">
        <v>581861000</v>
      </c>
      <c r="F7" s="8" t="s">
        <v>87</v>
      </c>
    </row>
    <row r="8" spans="1:6" x14ac:dyDescent="0.25">
      <c r="A8" t="s">
        <v>88</v>
      </c>
      <c r="B8" s="18">
        <v>1039847000</v>
      </c>
      <c r="C8" s="18">
        <v>943810000</v>
      </c>
      <c r="D8" s="18">
        <v>743055000</v>
      </c>
      <c r="E8" s="18">
        <v>734001000</v>
      </c>
      <c r="F8" s="8" t="s">
        <v>89</v>
      </c>
    </row>
    <row r="9" spans="1:6" x14ac:dyDescent="0.25">
      <c r="A9" t="s">
        <v>90</v>
      </c>
      <c r="B9" s="18">
        <v>16418000</v>
      </c>
      <c r="C9" s="18">
        <v>-418759000</v>
      </c>
      <c r="D9" s="18">
        <v>-17068000</v>
      </c>
      <c r="E9" s="18">
        <v>244349000</v>
      </c>
      <c r="F9" s="8" t="s">
        <v>91</v>
      </c>
    </row>
    <row r="10" spans="1:6" x14ac:dyDescent="0.25">
      <c r="A10" t="s">
        <v>92</v>
      </c>
      <c r="B10" s="18">
        <v>5166503000</v>
      </c>
      <c r="C10" s="18">
        <v>4955429000</v>
      </c>
      <c r="D10" s="18">
        <v>5366628000</v>
      </c>
      <c r="E10" s="18">
        <v>5271278000</v>
      </c>
      <c r="F10" s="8" t="s">
        <v>93</v>
      </c>
    </row>
    <row r="11" spans="1:6" x14ac:dyDescent="0.25">
      <c r="A11" t="s">
        <v>94</v>
      </c>
      <c r="B11" s="18">
        <v>137797000</v>
      </c>
      <c r="C11" s="18">
        <v>125983000</v>
      </c>
      <c r="D11" s="18">
        <v>119439000</v>
      </c>
      <c r="E11" s="18">
        <v>102818000</v>
      </c>
      <c r="F11" s="8" t="s">
        <v>95</v>
      </c>
    </row>
    <row r="12" spans="1:6" x14ac:dyDescent="0.25">
      <c r="A12" t="s">
        <v>32</v>
      </c>
      <c r="B12" s="34">
        <v>64462000</v>
      </c>
      <c r="C12" s="34">
        <v>67896000</v>
      </c>
      <c r="D12" s="34">
        <v>70125000</v>
      </c>
      <c r="E12" s="34">
        <v>73832000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