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<sst xmlns="http://schemas.openxmlformats.org/spreadsheetml/2006/main" count="120" uniqueCount="107">
  <si>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Universal Health Services, Inc. (UHS)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</si>
  <si>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</si>
  <si>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</si>
  <si>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</si>
  <si>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</si>
  <si>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</si>
  <si>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</si>
  <si>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</si>
  <si>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</si>
  <si>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</si>
  <si>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</si>
  <si>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</si>
  <si>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</si>
  <si>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</si>
  <si>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</si>
  <si>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</si>
  <si>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</si>
  <si>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</si>
  <si>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</si>
  <si>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</si>
  <si>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</si>
  <si>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</si>
  <si>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</si>
  <si>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</si>
  <si>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13.1x interest cover. Book interest / average debt was lower, at 3.0%.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</si>
  <si>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</si>
  <si>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</si>
  <si>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</si>
  <si>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</si>
  <si>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</si>
  <si>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</si>
  <si>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</si>
  <si>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</si>
  <si>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</si>
  <si>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</si>
  <si>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</si>
  <si>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</si>
  <si>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</si>
  <si>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</si>
  <si>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</si>
  <si>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</si>
  <si>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</si>
  <si>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</si>
  <si>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</si>
  <si>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</si>
  <si>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</si>
  <si>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</si>
  <si>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</si>
  <si>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</si>
  <si>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</si>
  <si>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</si>
  <si>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</si>
  <si>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</si>
  <si>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</si>
  <si>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</si>
  <si>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</si>
  <si>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</si>
  <si>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</si>
  <si>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</si>
  <si>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</si>
  <si>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</si>
  <si>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</si>
  <si>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</si>
  <si>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</si>
  <si>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</si>
  <si>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</si>
  <si>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</si>
  <si>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</si>
  <si>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</si>
  <si>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</si>
  <si>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</si>
  <si>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</si>
  <si>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</si>
  <si>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</si>
  <si>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</si>
  <si>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</si>
  <si>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</si>
  <si>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</si>
  <si>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</si>
  <si>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</si>
  <si>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</si>
  <si>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</si>
  <si>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</si>
  <si>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</si>
  <si>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</si>
  <si>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</si>
  <si>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</si>
  <si>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</si>
  <si>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</si>
  <si>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</si>
  <si>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</si>
  <si>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</si>
  <si>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</si>
  <si>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</si>
  <si>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</si>
  <si>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</si>
  <si>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</si>
  <si>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</si>
  <si>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</si>
  <si>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</si>
  <si>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</si>
  <si>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</si>
  <si>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</si>
  <si>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</si>
  <si>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</si>
  <si>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5.7% of revenue against depreciation of 3.9%.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</si>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</sst>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0.07169388941290467</v>
      </c>
    </row>
    <row r="7" spans="1:2" x14ac:dyDescent="0.25">
      <c r="A7" t="s">
        <v>4</v>
      </c>
      <c r="B7" s="5">
        <v>0.0945701558642135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0.038944760214704915</v>
      </c>
    </row>
    <row r="10" spans="1:3" x14ac:dyDescent="0.25">
      <c r="A10" t="s">
        <v>7</v>
      </c>
      <c r="B10" s="5">
        <v>0.05657949511932368</v>
      </c>
      <c r="C10" s="6" t="s">
        <v>8</v>
      </c>
    </row>
    <row r="11" spans="1:2" x14ac:dyDescent="0.25">
      <c r="A11" t="s">
        <v>9</v>
      </c>
      <c r="B11" s="5">
        <v>0.11970894652081215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5.895869501882685</v>
      </c>
    </row>
    <row r="14" spans="1:3" x14ac:dyDescent="0.25">
      <c r="A14" t="s">
        <v>12</v>
      </c>
      <c r="B14" s="5">
        <v>0.10144161121149012</v>
      </c>
      <c r="C14" s="6" t="s">
        <v>13</v>
      </c>
    </row>
    <row r="15" spans="1:3" x14ac:dyDescent="0.25">
      <c r="A15" t="s">
        <v>14</v>
      </c>
      <c r="B15" s="5">
        <v>0.038944760214704915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1.0194299999999998</v>
      </c>
      <c r="C19" s="6" t="s">
        <v>21</v>
      </c>
    </row>
    <row r="20" spans="1:2" x14ac:dyDescent="0.25">
      <c r="A20" t="s">
        <v>22</v>
      </c>
      <c r="B20" s="9">
        <f>B17+B19*B18</f>
        <v>0.092061889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10375774208</v>
      </c>
    </row>
    <row r="23" spans="1:2" x14ac:dyDescent="0.25">
      <c r="A23" t="s">
        <v>26</v>
      </c>
      <c r="B23" s="10">
        <v>5166503000</v>
      </c>
    </row>
    <row r="24" spans="1:2" x14ac:dyDescent="0.25">
      <c r="A24" t="s">
        <v>27</v>
      </c>
      <c r="B24" s="9">
        <f>B22/(B22+B23)</f>
        <v>0.6675839112340197</v>
      </c>
    </row>
    <row r="25" spans="1:2" x14ac:dyDescent="0.25">
      <c r="A25" t="s">
        <v>28</v>
      </c>
      <c r="B25" s="9">
        <f>1-B24</f>
        <v>0.3324160887659803</v>
      </c>
    </row>
    <row r="26" spans="1:2" x14ac:dyDescent="0.25">
      <c r="A26" t="s">
        <v>29</v>
      </c>
      <c r="B26" s="11">
        <f>B24*B20+B25*B21*(1-B8)</f>
        <v>0.07536154104823627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17364829000</v>
      </c>
      <c r="C29" s="6" t="s">
        <v>32</v>
      </c>
    </row>
    <row r="30" spans="1:2" x14ac:dyDescent="0.25">
      <c r="A30" t="s">
        <v>33</v>
      </c>
      <c r="B30" s="10">
        <v>5028706000</v>
      </c>
    </row>
    <row r="31" spans="1:2" x14ac:dyDescent="0.25">
      <c r="A31" t="s">
        <v>34</v>
      </c>
      <c r="B31" s="12">
        <v>64462000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0.07169388941290467</v>
      </c>
      <c r="C5" s="5">
        <v>0.04684275886483791</v>
      </c>
      <c r="D5" s="5">
        <v>0.04411241400673317</v>
      </c>
      <c r="E5" s="5">
        <v>0.04138206914862843</v>
      </c>
      <c r="F5" s="5">
        <v>0.038651724290523694</v>
      </c>
      <c r="G5" s="5">
        <v>0.03592137943241895</v>
      </c>
      <c r="H5" s="5">
        <v>0.033191034574314215</v>
      </c>
      <c r="I5" s="5">
        <v>0.03046068971620948</v>
      </c>
      <c r="J5" s="5">
        <v>0.02773034485810474</v>
      </c>
      <c r="K5" s="5">
        <v>0.025</v>
      </c>
    </row>
    <row r="6" spans="1:11" x14ac:dyDescent="0.25">
      <c r="A6" t="s">
        <v>50</v>
      </c>
      <c r="B6" s="18">
        <f>Assumptions!B29*(1+B5)</f>
        <v>18609781130</v>
      </c>
      <c r="C6" s="18">
        <f>B6*(1+C5)</f>
        <v>19481514620</v>
      </c>
      <c r="D6" s="18">
        <f>C6*(1+D5)</f>
        <v>20340891258.395668</v>
      </c>
      <c r="E6" s="18">
        <f>D6*(1+E5)</f>
        <v>21182639426.995327</v>
      </c>
      <c r="F6" s="18">
        <f>E6*(1+F5)</f>
        <v>22001384965.873127</v>
      </c>
      <c r="G6" s="18">
        <f>F6*(1+G5)</f>
        <v>22791705063.270973</v>
      </c>
      <c r="H6" s="18">
        <f>G6*(1+H5)</f>
        <v>23548185334.033573</v>
      </c>
      <c r="I6" s="18">
        <f>H6*(1+I5)</f>
        <v>24265479300.873363</v>
      </c>
      <c r="J6" s="18">
        <f>I6*(1+J5)</f>
        <v>24938369410.033787</v>
      </c>
      <c r="K6" s="18">
        <f>J6*(1+K5)</f>
        <v>25561828645.28463</v>
      </c>
    </row>
    <row r="7" spans="1:11" x14ac:dyDescent="0.25">
      <c r="A7" t="s">
        <v>4</v>
      </c>
      <c r="B7" s="9">
        <f>Assumptions!B7</f>
        <v>0.0945701558642135</v>
      </c>
      <c r="C7" s="9">
        <f>Assumptions!B7</f>
        <v>0.0945701558642135</v>
      </c>
      <c r="D7" s="9">
        <f>Assumptions!B7</f>
        <v>0.0945701558642135</v>
      </c>
      <c r="E7" s="9">
        <f>Assumptions!B7</f>
        <v>0.0945701558642135</v>
      </c>
      <c r="F7" s="9">
        <f>Assumptions!B7</f>
        <v>0.0945701558642135</v>
      </c>
      <c r="G7" s="9">
        <f>Assumptions!B7</f>
        <v>0.0945701558642135</v>
      </c>
      <c r="H7" s="9">
        <f>Assumptions!B7</f>
        <v>0.0945701558642135</v>
      </c>
      <c r="I7" s="9">
        <f>Assumptions!B7</f>
        <v>0.0945701558642135</v>
      </c>
      <c r="J7" s="9">
        <f>Assumptions!B7</f>
        <v>0.0945701558642135</v>
      </c>
      <c r="K7" s="9">
        <f>Assumptions!B7</f>
        <v>0.0945701558642135</v>
      </c>
    </row>
    <row r="8" spans="1:11" x14ac:dyDescent="0.25">
      <c r="A8" t="s">
        <v>51</v>
      </c>
      <c r="B8" s="18">
        <f>B6*B7</f>
        <v>1759929902.0629992</v>
      </c>
      <c r="C8" s="18">
        <f>C6*C7</f>
        <v>1842369874.084354</v>
      </c>
      <c r="D8" s="18">
        <f>D6*D7</f>
        <v>1923641256.7234962</v>
      </c>
      <c r="E8" s="18">
        <f>E6*E7</f>
        <v>2003245512.226382</v>
      </c>
      <c r="F8" s="18">
        <f>F6*F7</f>
        <v>2080674405.4511852</v>
      </c>
      <c r="G8" s="18">
        <f>G6*G7</f>
        <v>2155415100.24472</v>
      </c>
      <c r="H8" s="18">
        <f>H6*H7</f>
        <v>2226955557.3589416</v>
      </c>
      <c r="I8" s="18">
        <f>I6*I7</f>
        <v>2294790159.6034403</v>
      </c>
      <c r="J8" s="18">
        <f>J6*J7</f>
        <v>2358425482.1062293</v>
      </c>
      <c r="K8" s="18">
        <f>K6*K7</f>
        <v>2417386119.1588845</v>
      </c>
    </row>
    <row r="9" spans="1:11" x14ac:dyDescent="0.25">
      <c r="A9" t="s">
        <v>52</v>
      </c>
      <c r="B9" s="18">
        <f>B8*(1-Assumptions!B8)</f>
        <v>1390344622.6297696</v>
      </c>
      <c r="C9" s="18">
        <f>C8*(1-Assumptions!B8)</f>
        <v>1455472200.5266397</v>
      </c>
      <c r="D9" s="18">
        <f>D8*(1-Assumptions!B8)</f>
        <v>1519676592.811562</v>
      </c>
      <c r="E9" s="18">
        <f>E8*(1-Assumptions!B8)</f>
        <v>1582563954.6588418</v>
      </c>
      <c r="F9" s="18">
        <f>F8*(1-Assumptions!B8)</f>
        <v>1643732780.3064363</v>
      </c>
      <c r="G9" s="18">
        <f>G8*(1-Assumptions!B8)</f>
        <v>1702777929.1933289</v>
      </c>
      <c r="H9" s="18">
        <f>H8*(1-Assumptions!B8)</f>
        <v>1759294890.3135638</v>
      </c>
      <c r="I9" s="18">
        <f>I8*(1-Assumptions!B8)</f>
        <v>1812884226.0867178</v>
      </c>
      <c r="J9" s="18">
        <f>J8*(1-Assumptions!B8)</f>
        <v>1863156130.8639212</v>
      </c>
      <c r="K9" s="18">
        <f>K8*(1-Assumptions!B8)</f>
        <v>1909735034.1355188</v>
      </c>
    </row>
    <row r="10" spans="1:11" x14ac:dyDescent="0.25">
      <c r="A10" t="s">
        <v>53</v>
      </c>
      <c r="B10" s="18">
        <f>B6*Assumptions!B9</f>
        <v>724753463.7559903</v>
      </c>
      <c r="C10" s="18">
        <f>C6*Assumptions!B9</f>
        <v>758702915.4951681</v>
      </c>
      <c r="D10" s="18">
        <f>D6*Assumptions!B9</f>
        <v>792171132.6116066</v>
      </c>
      <c r="E10" s="18">
        <f>E6*Assumptions!B9</f>
        <v>824952813.1988873</v>
      </c>
      <c r="F10" s="18">
        <f>F6*Assumptions!B9</f>
        <v>856838661.8873426</v>
      </c>
      <c r="G10" s="18">
        <f>G6*Assumptions!B9</f>
        <v>887617488.573364</v>
      </c>
      <c r="H10" s="18">
        <f>H6*Assumptions!B9</f>
        <v>917078431.3253685</v>
      </c>
      <c r="I10" s="18">
        <f>I6*Assumptions!B9</f>
        <v>945013272.8673986</v>
      </c>
      <c r="J10" s="18">
        <f>J6*Assumptions!B9</f>
        <v>971218816.819498</v>
      </c>
      <c r="K10" s="18">
        <f>K6*Assumptions!B9</f>
        <v>995499287.2399853</v>
      </c>
    </row>
    <row r="11" spans="1:11" x14ac:dyDescent="0.25">
      <c r="A11" t="s">
        <v>54</v>
      </c>
      <c r="B11" s="18">
        <f>-B6*B19</f>
        <v>-1052932020.616517</v>
      </c>
      <c r="C11" s="18">
        <f>-C6*C19</f>
        <v>-1103937115.5390508</v>
      </c>
      <c r="D11" s="18">
        <f>-D6*D19</f>
        <v>-1154391535.5571253</v>
      </c>
      <c r="E11" s="18">
        <f>-E6*E19</f>
        <v>-1203992446.8221745</v>
      </c>
      <c r="F11" s="18">
        <f>-F6*F19</f>
        <v>-1252429356.8011644</v>
      </c>
      <c r="G11" s="18">
        <f>-G6*G19</f>
        <v>-1299387142.326798</v>
      </c>
      <c r="H11" s="18">
        <f>-H6*H19</f>
        <v>-1344549287.6366467</v>
      </c>
      <c r="I11" s="18">
        <f>-I6*I19</f>
        <v>-1387601289.3994443</v>
      </c>
      <c r="J11" s="18">
        <f>-J6*J19</f>
        <v>-1428234180.4459195</v>
      </c>
      <c r="K11" s="18">
        <f>-K6*K19</f>
        <v>-1466148119.4420922</v>
      </c>
    </row>
    <row r="12" spans="1:11" x14ac:dyDescent="0.25">
      <c r="A12" t="s">
        <v>55</v>
      </c>
      <c r="B12" s="18">
        <f>-(B6-Assumptions!B29)*Assumptions!B11</f>
        <v>-149031907.95114118</v>
      </c>
      <c r="C12" s="18">
        <f>-(C6-B6)*Assumptions!B11</f>
        <v>-104354297.73481093</v>
      </c>
      <c r="D12" s="18">
        <f>-(D6-C6)*Assumptions!B11</f>
        <v>-102875072.04694235</v>
      </c>
      <c r="E12" s="18">
        <f>-(E6-D6)*Assumptions!B11</f>
        <v>-100764786.49888815</v>
      </c>
      <c r="F12" s="18">
        <f>-(F6-E6)*Assumptions!B11</f>
        <v>-98011165.92767608</v>
      </c>
      <c r="G12" s="18">
        <f>-(G6-F6)*Assumptions!B11</f>
        <v>-94608386.27372183</v>
      </c>
      <c r="H12" s="18">
        <f>-(H6-G6)*Assumptions!B11</f>
        <v>-90557456.27676958</v>
      </c>
      <c r="I12" s="18">
        <f>-(I6-H6)*Assumptions!B11</f>
        <v>-85866505.11612567</v>
      </c>
      <c r="J12" s="18">
        <f>-(J6-I6)*Assumptions!B11</f>
        <v>-80550966.09186856</v>
      </c>
      <c r="K12" s="18">
        <f>-(K6-J6)*Assumptions!B11</f>
        <v>-74633648.25054961</v>
      </c>
    </row>
    <row r="13" spans="1:11" x14ac:dyDescent="0.25">
      <c r="A13" s="19" t="s">
        <v>56</v>
      </c>
      <c r="B13" s="20">
        <f>B9+B10+B11+B12</f>
        <v>913134157.8181016</v>
      </c>
      <c r="C13" s="20">
        <f>C9+C10+C11+C12</f>
        <v>1005883702.7479459</v>
      </c>
      <c r="D13" s="20">
        <f>D9+D10+D11+D12</f>
        <v>1054581117.819101</v>
      </c>
      <c r="E13" s="20">
        <f>E9+E10+E11+E12</f>
        <v>1102759534.5366662</v>
      </c>
      <c r="F13" s="20">
        <f>F9+F10+F11+F12</f>
        <v>1150130919.4649386</v>
      </c>
      <c r="G13" s="20">
        <f>G9+G10+G11+G12</f>
        <v>1196399889.1661732</v>
      </c>
      <c r="H13" s="20">
        <f>H9+H10+H11+H12</f>
        <v>1241266577.7255158</v>
      </c>
      <c r="I13" s="20">
        <f>I9+I10+I11+I12</f>
        <v>1284429704.4385464</v>
      </c>
      <c r="J13" s="20">
        <f>J9+J10+J11+J12</f>
        <v>1325589801.145631</v>
      </c>
      <c r="K13" s="20">
        <f>K9+K10+K11+K12</f>
        <v>1364452553.6828623</v>
      </c>
    </row>
    <row r="14" spans="1:11" x14ac:dyDescent="0.25">
      <c r="A14" t="s">
        <v>57</v>
      </c>
      <c r="B14" s="21">
        <f>1/(1+Assumptions!$B$26)^(1-0.5*Assumptions!$B$32)</f>
        <v>0.9643234986571743</v>
      </c>
      <c r="C14" s="21">
        <f>1/(1+Assumptions!$B$26)^(2-0.5*Assumptions!$B$32)</f>
        <v>0.8967435247100016</v>
      </c>
      <c r="D14" s="21">
        <f>1/(1+Assumptions!$B$26)^(3-0.5*Assumptions!$B$32)</f>
        <v>0.8338995681730237</v>
      </c>
      <c r="E14" s="21">
        <f>1/(1+Assumptions!$B$26)^(4-0.5*Assumptions!$B$32)</f>
        <v>0.7754597280465868</v>
      </c>
      <c r="F14" s="21">
        <f>1/(1+Assumptions!$B$26)^(5-0.5*Assumptions!$B$32)</f>
        <v>0.7211153630161328</v>
      </c>
      <c r="G14" s="21">
        <f>1/(1+Assumptions!$B$26)^(6-0.5*Assumptions!$B$32)</f>
        <v>0.6705794614090504</v>
      </c>
      <c r="H14" s="21">
        <f>1/(1+Assumptions!$B$26)^(7-0.5*Assumptions!$B$32)</f>
        <v>0.6235851253852597</v>
      </c>
      <c r="I14" s="21">
        <f>1/(1+Assumptions!$B$26)^(8-0.5*Assumptions!$B$32)</f>
        <v>0.579884161356007</v>
      </c>
      <c r="J14" s="21">
        <f>1/(1+Assumptions!$B$26)^(9-0.5*Assumptions!$B$32)</f>
        <v>0.5392457691863799</v>
      </c>
      <c r="K14" s="21">
        <f>1/(1+Assumptions!$B$26)^(10-0.5*Assumptions!$B$32)</f>
        <v>0.5014553232587583</v>
      </c>
    </row>
    <row r="15" spans="1:11" x14ac:dyDescent="0.25">
      <c r="A15" s="19" t="s">
        <v>58</v>
      </c>
      <c r="B15" s="20">
        <f>B13*B14</f>
        <v>880556725.8105241</v>
      </c>
      <c r="C15" s="20">
        <f>C13*C14</f>
        <v>902019697.0505406</v>
      </c>
      <c r="D15" s="20">
        <f>D13*D14</f>
        <v>879414738.7527729</v>
      </c>
      <c r="E15" s="20">
        <f>E13*E14</f>
        <v>855145608.7525837</v>
      </c>
      <c r="F15" s="20">
        <f>F13*F14</f>
        <v>829377075.5060378</v>
      </c>
      <c r="G15" s="20">
        <f>G13*G14</f>
        <v>802281193.3069001</v>
      </c>
      <c r="H15" s="20">
        <f>H13*H14</f>
        <v>774035374.507498</v>
      </c>
      <c r="I15" s="20">
        <f>I13*I14</f>
        <v>744820441.9790903</v>
      </c>
      <c r="J15" s="20">
        <f>J13*J14</f>
        <v>714818691.9443963</v>
      </c>
      <c r="K15" s="20">
        <f>K13*K14</f>
        <v>684211996.378278</v>
      </c>
    </row>
    <row r="17" spans="1:2" x14ac:dyDescent="0.25">
      <c r="A17" s="22" t="s">
        <v>59</v>
      </c>
      <c r="B17" s="23">
        <f>SUM(B15:K15)</f>
        <v>8066681543.988622</v>
      </c>
    </row>
    <row r="19" spans="1:11" x14ac:dyDescent="0.25">
      <c r="A19" t="s">
        <v>7</v>
      </c>
      <c r="B19" s="9">
        <f>Assumptions!$B$10+($B$20-Assumptions!$B$10)*0/9</f>
        <v>0.05657949511932368</v>
      </c>
      <c r="C19" s="9">
        <f>Assumptions!$B$10+($B$20-Assumptions!$B$10)*1/9</f>
        <v>0.05666587722115473</v>
      </c>
      <c r="D19" s="9">
        <f>Assumptions!$B$10+($B$20-Assumptions!$B$10)*2/9</f>
        <v>0.05675225932298577</v>
      </c>
      <c r="E19" s="9">
        <f>Assumptions!$B$10+($B$20-Assumptions!$B$10)*3/9</f>
        <v>0.056838641424816816</v>
      </c>
      <c r="F19" s="9">
        <f>Assumptions!$B$10+($B$20-Assumptions!$B$10)*4/9</f>
        <v>0.05692502352664786</v>
      </c>
      <c r="G19" s="9">
        <f>Assumptions!$B$10+($B$20-Assumptions!$B$10)*5/9</f>
        <v>0.0570114056284789</v>
      </c>
      <c r="H19" s="9">
        <f>Assumptions!$B$10+($B$20-Assumptions!$B$10)*6/9</f>
        <v>0.05709778773030995</v>
      </c>
      <c r="I19" s="9">
        <f>Assumptions!$B$10+($B$20-Assumptions!$B$10)*7/9</f>
        <v>0.057184169832140995</v>
      </c>
      <c r="J19" s="9">
        <f>Assumptions!$B$10+($B$20-Assumptions!$B$10)*8/9</f>
        <v>0.057270551933972035</v>
      </c>
      <c r="K19" s="9">
        <f>Assumptions!$B$10+($B$20-Assumptions!$B$10)*9/9</f>
        <v>0.05735693403580308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0.05735693403580308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1364452553.6828623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1909735034.1355188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0.24644718968312576</v>
      </c>
    </row>
    <row r="7" spans="1:2" x14ac:dyDescent="0.25">
      <c r="A7" t="s">
        <v>66</v>
      </c>
      <c r="B7" s="18">
        <f>-MAX(B5,0)*B6</f>
        <v>-470648832.20210683</v>
      </c>
    </row>
    <row r="8" spans="1:2" x14ac:dyDescent="0.25">
      <c r="A8" t="s">
        <v>67</v>
      </c>
      <c r="B8" s="18">
        <f>IF(OR(Assumptions!$B$33=0,Assumptions!B12&lt;=0),B5,MAX(B5+B7,0))</f>
        <v>1439086201.933412</v>
      </c>
    </row>
    <row r="9" spans="1:2" x14ac:dyDescent="0.25">
      <c r="A9" t="s">
        <v>68</v>
      </c>
      <c r="B9" s="18">
        <f>B8*(1+Assumptions!B12)/(Assumptions!B26-Assumptions!B12)</f>
        <v>29289480152.502323</v>
      </c>
    </row>
    <row r="10" spans="1:2" x14ac:dyDescent="0.25">
      <c r="A10" t="s">
        <v>69</v>
      </c>
      <c r="B10" s="18">
        <f>B9/(1+Assumptions!B26)^(10-0.5*Assumptions!B32)</f>
        <v>14687365737.954039</v>
      </c>
    </row>
    <row r="11" spans="1:2" x14ac:dyDescent="0.25">
      <c r="A11" t="s">
        <v>70</v>
      </c>
      <c r="B11" s="18">
        <f>Forecast!B17+B10</f>
        <v>22754047281.94266</v>
      </c>
    </row>
    <row r="12" spans="1:2" x14ac:dyDescent="0.25">
      <c r="A12" t="s">
        <v>71</v>
      </c>
      <c r="B12" s="18">
        <f>-Assumptions!B30</f>
        <v>-5028706000</v>
      </c>
    </row>
    <row r="13" spans="1:2" x14ac:dyDescent="0.25">
      <c r="A13" t="s">
        <v>72</v>
      </c>
      <c r="B13" s="18">
        <f>B11+B12</f>
        <v>17725341281.94266</v>
      </c>
    </row>
    <row r="14" spans="1:2" x14ac:dyDescent="0.25">
      <c r="A14" s="19" t="s">
        <v>73</v>
      </c>
      <c r="B14" s="24">
        <f>B13/Assumptions!B31</f>
        <v>274.97349263042815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3412885406.39887</v>
      </c>
    </row>
    <row r="18" spans="1:2" x14ac:dyDescent="0.25">
      <c r="A18" t="s">
        <v>68</v>
      </c>
      <c r="B18" s="18">
        <f>B17*Assumptions!B13</f>
        <v>20121926981.00759</v>
      </c>
    </row>
    <row r="19" spans="1:2" x14ac:dyDescent="0.25">
      <c r="A19" t="s">
        <v>69</v>
      </c>
      <c r="B19" s="18">
        <f>B18/(1+Assumptions!B26)^(10-0.5*Assumptions!B32)</f>
        <v>10090247398.850292</v>
      </c>
    </row>
    <row r="20" spans="1:2" x14ac:dyDescent="0.25">
      <c r="A20" t="s">
        <v>70</v>
      </c>
      <c r="B20" s="18">
        <f>Forecast!B17+B19</f>
        <v>18156928942.838913</v>
      </c>
    </row>
    <row r="21" spans="1:2" x14ac:dyDescent="0.25">
      <c r="A21" t="s">
        <v>71</v>
      </c>
      <c r="B21" s="18">
        <f>-Assumptions!B30</f>
        <v>-5028706000</v>
      </c>
    </row>
    <row r="22" spans="1:2" x14ac:dyDescent="0.25">
      <c r="A22" t="s">
        <v>72</v>
      </c>
      <c r="B22" s="18">
        <f>B20+B21</f>
        <v>13128222942.838913</v>
      </c>
    </row>
    <row r="23" spans="1:2" x14ac:dyDescent="0.25">
      <c r="A23" s="19" t="s">
        <v>73</v>
      </c>
      <c r="B23" s="25">
        <f>B22/Assumptions!B31</f>
        <v>203.65832494863506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176.05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274.97349263042815</v>
      </c>
    </row>
    <row r="29" spans="1:2" x14ac:dyDescent="0.25">
      <c r="A29" s="19" t="s">
        <v>81</v>
      </c>
      <c r="B29" s="11">
        <f>B28/B26-1</f>
        <v>0.5619056667448346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0.055362</v>
      </c>
      <c r="B5" s="31">
        <v>448.8531478682023</v>
      </c>
      <c r="C5" s="31">
        <v>474.87089489874273</v>
      </c>
      <c r="D5" s="31">
        <v>510.71018645967393</v>
      </c>
      <c r="E5" s="31">
        <v>562.1798376269305</v>
      </c>
      <c r="F5" s="31">
        <v>640.7942081930128</v>
      </c>
    </row>
    <row r="6" spans="1:6" x14ac:dyDescent="0.25">
      <c r="A6" s="30">
        <v>0.065362</v>
      </c>
      <c r="B6" s="31">
        <v>340.4504254897158</v>
      </c>
      <c r="C6" s="31">
        <v>350.3231981261431</v>
      </c>
      <c r="D6" s="31">
        <v>363.5317015701903</v>
      </c>
      <c r="E6" s="31">
        <v>381.4908999673893</v>
      </c>
      <c r="F6" s="31">
        <v>406.5478200056156</v>
      </c>
    </row>
    <row r="7" spans="1:6" x14ac:dyDescent="0.25">
      <c r="A7" s="30">
        <v>0.075362</v>
      </c>
      <c r="B7" s="31">
        <v>268.247993795864</v>
      </c>
      <c r="C7" s="31">
        <v>270.9990161217055</v>
      </c>
      <c r="D7" s="32">
        <v>274.970238749835</v>
      </c>
      <c r="E7" s="31">
        <v>280.5651492807622</v>
      </c>
      <c r="F7" s="31">
        <v>288.3871697089861</v>
      </c>
    </row>
    <row r="8" spans="1:6" x14ac:dyDescent="0.25">
      <c r="A8" s="30">
        <v>0.085362</v>
      </c>
      <c r="B8" s="31">
        <v>216.79077009594167</v>
      </c>
      <c r="C8" s="31">
        <v>216.12458983673682</v>
      </c>
      <c r="D8" s="31">
        <v>215.87999677653406</v>
      </c>
      <c r="E8" s="31">
        <v>216.1712174242208</v>
      </c>
      <c r="F8" s="31">
        <v>217.15784047004664</v>
      </c>
    </row>
    <row r="9" spans="1:6" x14ac:dyDescent="0.25">
      <c r="A9" s="30">
        <v>0.095362</v>
      </c>
      <c r="B9" s="31">
        <v>178.3181228200248</v>
      </c>
      <c r="C9" s="31">
        <v>175.95372456429718</v>
      </c>
      <c r="D9" s="31">
        <v>173.6853807578059</v>
      </c>
      <c r="E9" s="31">
        <v>171.53513504576614</v>
      </c>
      <c r="F9" s="31">
        <v>169.5323348887784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17364829000</v>
      </c>
      <c r="C5" s="18">
        <v>15827935000</v>
      </c>
      <c r="D5" s="18">
        <v>14281976000</v>
      </c>
      <c r="E5" s="18">
        <v>13399370000</v>
      </c>
      <c r="F5" s="6" t="s">
        <v>91</v>
      </c>
    </row>
    <row r="6" spans="1:6" x14ac:dyDescent="0.25">
      <c r="A6" t="s">
        <v>51</v>
      </c>
      <c r="B6" s="18">
        <v>1994015000</v>
      </c>
      <c r="C6" s="18">
        <v>1681814000</v>
      </c>
      <c r="D6" s="18">
        <v>1175381000</v>
      </c>
      <c r="E6" s="18">
        <v>1003555000</v>
      </c>
      <c r="F6" s="6" t="s">
        <v>92</v>
      </c>
    </row>
    <row r="7" spans="1:6" x14ac:dyDescent="0.25">
      <c r="A7" t="s">
        <v>93</v>
      </c>
      <c r="B7" s="18">
        <v>618743000</v>
      </c>
      <c r="C7" s="18">
        <v>584831000</v>
      </c>
      <c r="D7" s="18">
        <v>568041000</v>
      </c>
      <c r="E7" s="18">
        <v>581861000</v>
      </c>
      <c r="F7" s="6" t="s">
        <v>94</v>
      </c>
    </row>
    <row r="8" spans="1:6" x14ac:dyDescent="0.25">
      <c r="A8" t="s">
        <v>95</v>
      </c>
      <c r="B8" s="18">
        <v>1039847000</v>
      </c>
      <c r="C8" s="18">
        <v>943810000</v>
      </c>
      <c r="D8" s="18">
        <v>743055000</v>
      </c>
      <c r="E8" s="18">
        <v>734001000</v>
      </c>
      <c r="F8" s="6" t="s">
        <v>96</v>
      </c>
    </row>
    <row r="9" spans="1:6" x14ac:dyDescent="0.25">
      <c r="A9" t="s">
        <v>97</v>
      </c>
      <c r="B9" s="18">
        <v>16418000</v>
      </c>
      <c r="C9" s="18">
        <v>-418759000</v>
      </c>
      <c r="D9" s="18">
        <v>-17068000</v>
      </c>
      <c r="E9" s="18">
        <v>244349000</v>
      </c>
      <c r="F9" s="6" t="s">
        <v>98</v>
      </c>
    </row>
    <row r="10" spans="1:6" x14ac:dyDescent="0.25">
      <c r="A10" t="s">
        <v>99</v>
      </c>
      <c r="B10" s="18">
        <v>5166503000</v>
      </c>
      <c r="C10" s="18">
        <v>4955429000</v>
      </c>
      <c r="D10" s="18">
        <v>5366628000</v>
      </c>
      <c r="E10" s="18">
        <v>5271278000</v>
      </c>
      <c r="F10" s="6" t="s">
        <v>100</v>
      </c>
    </row>
    <row r="11" spans="1:6" x14ac:dyDescent="0.25">
      <c r="A11" t="s">
        <v>101</v>
      </c>
      <c r="B11" s="18">
        <v>137797000</v>
      </c>
      <c r="C11" s="18">
        <v>125983000</v>
      </c>
      <c r="D11" s="18">
        <v>119439000</v>
      </c>
      <c r="E11" s="18">
        <v>102818000</v>
      </c>
      <c r="F11" s="6" t="s">
        <v>102</v>
      </c>
    </row>
    <row r="12" spans="1:6" x14ac:dyDescent="0.25">
      <c r="A12" t="s">
        <v>34</v>
      </c>
      <c r="B12" s="34">
        <v>64462000</v>
      </c>
      <c r="C12" s="34">
        <v>67896000</v>
      </c>
      <c r="D12" s="34">
        <v>70125000</v>
      </c>
      <c r="E12" s="34">
        <v>73832000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